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activeTab="3"/>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SeparationAngle">OFFSET(Fixtures!$V$36,1,0,Fixtures!$C$35,1)</definedName>
    <definedName name="fixturesPerPole">OFFSET(Fixtures!$U$36,1,0,Fixtures!$C$35,1)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FixturesPerPole">FixtureData!$Q$6</definedName>
    <definedName name="selectedLLF">FixtureData!$H$6</definedName>
    <definedName name="selectedSeparationAngle">FixtureData!$R$6</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S78" i="17" l="1"/>
  <c r="D78" i="17"/>
  <c r="S77" i="17"/>
  <c r="D77" i="17"/>
  <c r="S76" i="17"/>
  <c r="D76" i="17"/>
  <c r="S75" i="17"/>
  <c r="D75" i="17"/>
  <c r="Q17" i="2" l="1"/>
  <c r="Q5" i="2" s="1"/>
  <c r="R17" i="2"/>
  <c r="R5" i="2" s="1"/>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Q19" i="2" l="1"/>
  <c r="Q18" i="2"/>
  <c r="R18" i="2" s="1"/>
  <c r="B122" i="33"/>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S3" i="10"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C7" i="39"/>
  <c r="K3" i="10" s="1"/>
  <c r="P3" i="10" s="1"/>
  <c r="B8" i="7"/>
  <c r="B12" i="7" s="1"/>
  <c r="B16"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K23" i="35"/>
  <c r="W21" i="8"/>
  <c r="B9" i="59" s="1"/>
  <c r="CB2" i="10"/>
  <c r="E85" i="6"/>
  <c r="E64" i="6"/>
  <c r="N23" i="35"/>
  <c r="AR65" i="26"/>
  <c r="E73" i="6"/>
  <c r="D44" i="17"/>
  <c r="D64" i="17"/>
  <c r="D69" i="17"/>
  <c r="A18" i="9"/>
  <c r="H3" i="49"/>
  <c r="AN65" i="26"/>
  <c r="B19" i="26"/>
  <c r="D47" i="17"/>
  <c r="F25" i="17"/>
  <c r="C65" i="59" s="1"/>
  <c r="P6" i="2" l="1"/>
  <c r="C7" i="43"/>
  <c r="T3" i="10" s="1"/>
  <c r="Y3" i="10" s="1"/>
  <c r="Q6" i="2"/>
  <c r="R19" i="2"/>
  <c r="R6" i="2" s="1"/>
  <c r="E22" i="17"/>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N6" i="2"/>
  <c r="C16" i="35" s="1"/>
  <c r="B6" i="2"/>
  <c r="B7" i="2" s="1"/>
  <c r="B13" i="2" s="1"/>
  <c r="H6" i="2"/>
  <c r="C10" i="35" s="1"/>
  <c r="B3" i="35"/>
  <c r="B51" i="59"/>
  <c r="N5" i="2"/>
  <c r="B16" i="35" s="1"/>
  <c r="G16" i="58"/>
  <c r="I19" i="2"/>
  <c r="G6" i="2"/>
  <c r="C9" i="35" s="1"/>
  <c r="H17" i="58"/>
  <c r="CE3" i="10"/>
  <c r="F24" i="17"/>
  <c r="C64" i="59" s="1"/>
  <c r="C17" i="58"/>
  <c r="D17" i="58"/>
  <c r="C20" i="35"/>
  <c r="I23" i="35" s="1"/>
  <c r="S23" i="35" s="1"/>
  <c r="T23" i="35" s="1"/>
  <c r="B17" i="58"/>
  <c r="F16" i="17"/>
  <c r="C56" i="59" s="1"/>
  <c r="F26" i="17"/>
  <c r="C66" i="59" s="1"/>
  <c r="A9" i="59"/>
  <c r="L17" i="2" l="1"/>
  <c r="L5" i="2" s="1"/>
  <c r="B14" i="35" s="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E16" i="58" l="1"/>
  <c r="K5" i="2"/>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<sst xmlns="http://schemas.openxmlformats.org/spreadsheetml/2006/main" count="5037" uniqueCount="3381">
  <si>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</si>
  <si>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</si>
  <si>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</si>
  <si>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</si>
  <si>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</si>
  <si>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</si>
  <si>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</si>
  <si>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</si>
  <si>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</si>
  <si>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</si>
  <si>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</si>
  <si>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</si>
  <si>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</si>
  <si>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</si>
  <si>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</si>
  <si>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</si>
  <si>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</si>
  <si>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</si>
  <si>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</si>
  <si>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</si>
  <si>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</si>
  <si>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</si>
  <si>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</si>
  <si>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</si>
  <si>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</si>
  <si>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</si>
  <si>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</si>
  <si>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</si>
  <si>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</si>
  <si>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</si>
  <si>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</si>
  <si>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</si>
  <si>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</si>
  <si>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</si>
  <si>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</si>
  <si>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</si>
  <si>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</si>
  <si>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</si>
  <si>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</si>
  <si>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</si>
  <si>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</si>
  <si>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</si>
  <si>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</si>
  <si>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</si>
  <si>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</si>
  <si>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</si>
  <si>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</si>
  <si>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</si>
  <si>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</si>
  <si>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</si>
  <si>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</si>
  <si>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</si>
  <si>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</si>
  <si>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</si>
  <si>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</si>
  <si>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</si>
  <si>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</si>
  <si>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</si>
  <si>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</si>
  <si>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</si>
  <si>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</si>
  <si>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</si>
  <si>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</si>
  <si>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</si>
  <si>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</si>
  <si>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</si>
  <si>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</si>
  <si>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</si>
  <si>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</si>
  <si>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</si>
  <si>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</si>
  <si>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</si>
  <si>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</si>
  <si>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</si>
  <si>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</si>
  <si>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</si>
  <si>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</si>
  <si>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</si>
  <si>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</si>
  <si>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</si>
  <si>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</si>
  <si>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</si>
  <si>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</si>
  <si>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</si>
  <si>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</si>
  <si>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</si>
  <si>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</si>
  <si>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</si>
  <si>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</si>
  <si>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</si>
  <si>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</si>
  <si>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</si>
  <si>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</si>
  <si>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</si>
  <si>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</si>
  <si>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</si>
  <si>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</si>
  <si>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</si>
  <si>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</si>
  <si>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</si>
  <si>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</si>
  <si>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</si>
  <si>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</si>
  <si>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</si>
  <si>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</si>
  <si>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</si>
  <si>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</si>
  <si>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</si>
  <si>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</si>
  <si>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</si>
  <si>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</si>
  <si>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</si>
  <si>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</si>
  <si>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</si>
  <si>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</si>
  <si>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</si>
  <si>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</si>
  <si>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</si>
  <si>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</si>
  <si>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</si>
  <si>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</si>
  <si>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</si>
  <si>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</si>
  <si>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</si>
  <si>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</si>
  <si>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</si>
  <si>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</si>
  <si>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</si>
  <si>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</si>
  <si>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</si>
  <si>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</si>
  <si>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</si>
  <si>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</si>
  <si>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</si>
  <si>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</si>
  <si>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</si>
  <si>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</si>
  <si>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</si>
  <si>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</si>
  <si>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</si>
  <si>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</si>
  <si>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</si>
  <si>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</si>
  <si>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</si>
  <si>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</si>
  <si>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</si>
  <si>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</si>
  <si>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</si>
  <si>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</si>
  <si>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</si>
  <si>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</si>
  <si>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</si>
  <si>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</si>
  <si>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</si>
  <si>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</si>
  <si>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</si>
  <si>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</si>
  <si>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</si>
  <si>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</si>
  <si>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</si>
  <si>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</si>
  <si>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</si>
  <si>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</si>
  <si>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</si>
  <si>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</si>
  <si>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</si>
  <si>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</si>
  <si>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</si>
  <si>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</si>
  <si>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</si>
  <si>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</si>
  <si>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</si>
  <si>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</si>
  <si>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</si>
  <si>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</si>
  <si>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</si>
  <si>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</si>
  <si>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</si>
  <si>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</si>
  <si>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</si>
  <si>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</si>
  <si>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</si>
  <si>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</si>
  <si>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</si>
  <si>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</si>
  <si>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</si>
  <si>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</si>
  <si>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</si>
  <si>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</si>
  <si>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</si>
  <si>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</si>
  <si>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</si>
  <si>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</si>
  <si>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</si>
  <si>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</si>
  <si>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</si>
  <si>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</si>
  <si>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</si>
  <si>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</si>
  <si>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</si>
  <si>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</si>
  <si>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</si>
  <si>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</si>
  <si>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</si>
  <si>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</si>
  <si>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</si>
  <si>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</si>
  <si>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</si>
  <si>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</si>
  <si>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</si>
  <si>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</si>
  <si>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</si>
  <si>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</si>
  <si>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</si>
  <si>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</si>
  <si>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</si>
  <si>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</si>
  <si>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</si>
  <si>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</si>
  <si>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</si>
  <si>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</si>
  <si>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</si>
  <si>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</si>
  <si>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</si>
  <si>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</si>
  <si>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</si>
  <si>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</si>
  <si>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</si>
  <si>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</si>
  <si>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</si>
  <si>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</si>
  <si>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</si>
  <si>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</si>
  <si>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</si>
  <si>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</si>
  <si>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</si>
  <si>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</si>
  <si>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</si>
  <si>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</si>
  <si>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</si>
  <si>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</si>
  <si>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</si>
  <si>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</si>
  <si>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</si>
  <si>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</si>
  <si>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</si>
  <si>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</si>
  <si>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</si>
  <si>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</si>
  <si>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</si>
  <si>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</si>
  <si>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</si>
  <si>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</si>
  <si>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</si>
  <si>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</si>
  <si>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</si>
  <si>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</si>
  <si>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</si>
  <si>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</si>
  <si>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</si>
  <si>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</si>
  <si>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</si>
  <si>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</si>
  <si>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</si>
  <si>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</si>
  <si>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</si>
  <si>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</si>
  <si>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</si>
  <si>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</si>
  <si>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</si>
  <si>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</si>
  <si>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</si>
  <si>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</si>
  <si>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</si>
  <si>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</si>
  <si>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</si>
  <si>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</si>
  <si>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</si>
  <si>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</si>
  <si>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</si>
  <si>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</si>
  <si>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</si>
  <si>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</si>
  <si>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</si>
  <si>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</si>
  <si>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</si>
  <si>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</si>
  <si>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</si>
  <si>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</si>
  <si>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</si>
  <si>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</si>
  <si>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</si>
  <si>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</si>
  <si>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</si>
  <si>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</si>
  <si>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</si>
  <si>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</si>
  <si>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</si>
  <si>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</si>
  <si>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</si>
  <si>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</si>
  <si>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</si>
  <si>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</si>
  <si>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</si>
  <si>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</si>
  <si>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</si>
  <si>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</si>
  <si>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</si>
  <si>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</si>
  <si>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</si>
  <si>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</si>
  <si>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</si>
  <si>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</si>
  <si>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</si>
  <si>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</si>
  <si>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</si>
  <si>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</si>
  <si>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</si>
  <si>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</si>
  <si>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</si>
  <si>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</si>
  <si>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</si>
  <si>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</si>
  <si>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</si>
  <si>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</si>
  <si>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</si>
  <si>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</si>
  <si>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</si>
  <si>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</si>
  <si>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</si>
  <si>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</si>
  <si>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</si>
  <si>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</si>
  <si>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</si>
  <si>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</si>
  <si>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</si>
  <si>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</si>
  <si>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</si>
  <si>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</si>
  <si>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</si>
  <si>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</si>
  <si>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</si>
  <si>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</si>
  <si>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</si>
  <si>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</si>
  <si>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</si>
  <si>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</si>
  <si>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</si>
  <si>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</si>
  <si>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</si>
  <si>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</si>
  <si>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</si>
  <si>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</si>
  <si>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</si>
  <si>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</si>
  <si>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</si>
  <si>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</si>
  <si>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</si>
  <si>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</si>
  <si>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</si>
  <si>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</si>
  <si>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</si>
  <si>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</si>
  <si>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</si>
  <si>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</si>
  <si>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</si>
  <si>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</si>
  <si>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</si>
  <si>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</si>
  <si>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</si>
  <si>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</si>
  <si>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</si>
  <si>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</si>
  <si>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</si>
  <si>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</si>
  <si>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</si>
  <si>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</si>
  <si>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</si>
  <si>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</si>
  <si>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</si>
  <si>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</si>
  <si>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</si>
  <si>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</si>
  <si>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</si>
  <si>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</si>
  <si>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</si>
  <si>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</si>
  <si>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</si>
  <si>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</si>
  <si>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</si>
  <si>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</si>
  <si>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</si>
  <si>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</si>
  <si>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</si>
  <si>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</si>
  <si>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</si>
  <si>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</si>
  <si>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</si>
  <si>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</si>
  <si>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</si>
  <si>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</si>
  <si>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</si>
  <si>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</si>
  <si>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</si>
  <si>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</si>
  <si>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</si>
  <si>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</si>
  <si>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</si>
  <si>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</si>
  <si>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</si>
  <si>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</si>
  <si>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</si>
  <si>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</si>
  <si>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</si>
  <si>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</si>
  <si>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</si>
  <si>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</si>
  <si>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</si>
  <si>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</si>
  <si>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</si>
  <si>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</si>
  <si>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</si>
  <si>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</si>
  <si>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</si>
  <si>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</si>
  <si>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</si>
  <si>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</si>
  <si>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</si>
  <si>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</si>
  <si>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</si>
  <si>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</si>
  <si>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</si>
  <si>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</si>
  <si>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</si>
  <si>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</si>
  <si>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</si>
  <si>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</si>
  <si>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</si>
  <si>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</si>
  <si>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</si>
  <si>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</si>
  <si>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</si>
  <si>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</si>
  <si>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</si>
  <si>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</si>
  <si>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</si>
  <si>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</si>
  <si>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</si>
  <si>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</si>
  <si>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</si>
  <si>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</si>
  <si>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</si>
  <si>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</si>
  <si>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</si>
  <si>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</si>
  <si>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</si>
  <si>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</si>
  <si>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</si>
  <si>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</si>
  <si>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</si>
  <si>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</si>
  <si>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</si>
  <si>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</si>
  <si>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</si>
  <si>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</si>
  <si>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</si>
  <si>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</si>
  <si>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</si>
  <si>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</si>
  <si>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</si>
  <si>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</si>
  <si>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</si>
  <si>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</si>
  <si>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</si>
  <si>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</si>
  <si>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</si>
  <si>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</si>
  <si>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</si>
  <si>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</si>
  <si>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</si>
  <si>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</si>
  <si>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</si>
  <si>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</si>
  <si>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</si>
  <si>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</si>
  <si>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</si>
  <si>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</si>
  <si>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</si>
  <si>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</si>
  <si>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</si>
  <si>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</si>
  <si>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</si>
  <si>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</si>
  <si>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</si>
  <si>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</si>
  <si>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</si>
  <si>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</si>
  <si>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</si>
  <si>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</si>
  <si>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</si>
  <si>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</si>
  <si>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</si>
  <si>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</si>
  <si>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</si>
  <si>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</si>
  <si>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</si>
  <si>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</si>
  <si>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</si>
  <si>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</si>
  <si>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</si>
  <si>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</si>
  <si>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</si>
  <si>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</si>
  <si>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</si>
  <si>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</si>
  <si>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</si>
  <si>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</si>
  <si>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</si>
  <si>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</si>
  <si>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</si>
  <si>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</si>
  <si>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</si>
  <si>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</si>
  <si>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</si>
  <si>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</si>
  <si>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</si>
  <si>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</si>
  <si>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</si>
  <si>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</si>
  <si>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</si>
  <si>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</si>
  <si>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</si>
  <si>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</si>
  <si>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</si>
  <si>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</si>
  <si>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</si>
  <si>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</si>
  <si>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</si>
  <si>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</si>
  <si>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</si>
  <si>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</si>
  <si>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</si>
  <si>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</si>
  <si>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</si>
  <si>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</si>
  <si>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</si>
  <si>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</si>
  <si>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</si>
  <si>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</si>
  <si>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</si>
  <si>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</si>
  <si>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</si>
  <si>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</si>
  <si>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</si>
  <si>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</si>
  <si>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</si>
  <si>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</si>
  <si>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</si>
  <si>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</si>
  <si>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</si>
  <si>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</si>
  <si>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</si>
  <si>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</si>
  <si>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</si>
  <si>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</si>
  <si>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</si>
  <si>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</si>
  <si>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</si>
  <si>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</si>
  <si>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</si>
  <si>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</si>
  <si>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</si>
  <si>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</si>
  <si>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</si>
  <si>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</si>
  <si>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</si>
  <si>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</si>
  <si>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</si>
  <si>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</si>
  <si>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</si>
  <si>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</si>
  <si>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</si>
  <si>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</si>
  <si>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</si>
  <si>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</si>
  <si>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</si>
  <si>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</si>
  <si>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</si>
  <si>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</si>
  <si>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</si>
  <si>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</si>
  <si>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</si>
  <si>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</si>
  <si>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</si>
  <si>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</si>
  <si>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</si>
  <si>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</si>
  <si>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</si>
  <si>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</si>
  <si>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</si>
  <si>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</si>
  <si>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</si>
  <si>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</si>
  <si>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</si>
  <si>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</si>
  <si>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</si>
  <si>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</si>
  <si>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</si>
  <si>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</si>
  <si>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</si>
  <si>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</si>
  <si>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</si>
  <si>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</si>
  <si>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</si>
  <si>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</si>
  <si>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</si>
  <si>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</si>
  <si>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</si>
  <si>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</si>
  <si>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</si>
  <si>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</si>
  <si>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</si>
  <si>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</si>
  <si>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</si>
  <si>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</si>
  <si>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</si>
  <si>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</si>
  <si>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</si>
  <si>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</si>
  <si>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</si>
  <si>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</si>
  <si>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</si>
  <si>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</si>
  <si>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</si>
  <si>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</si>
  <si>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</si>
  <si>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</si>
  <si>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</si>
  <si>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</si>
  <si>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</si>
  <si>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</si>
  <si>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</si>
  <si>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</si>
  <si>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</si>
  <si>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</si>
  <si>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</si>
  <si>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</si>
  <si>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</si>
  <si>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</si>
  <si>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</si>
  <si>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</si>
  <si>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</si>
  <si>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</si>
  <si>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</si>
  <si>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</si>
  <si>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</si>
  <si>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</si>
  <si>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</si>
  <si>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</si>
  <si>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</si>
  <si>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</si>
  <si>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</si>
  <si>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</si>
  <si>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</si>
  <si>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</si>
  <si>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</si>
  <si>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</si>
  <si>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</si>
  <si>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</si>
  <si>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</si>
  <si>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</si>
  <si>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</si>
  <si>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</si>
  <si>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</si>
  <si>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</si>
  <si>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</si>
  <si>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</si>
  <si>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</si>
  <si>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</si>
  <si>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</si>
  <si>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</si>
  <si>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</si>
  <si>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</si>
  <si>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</si>
  <si>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</si>
  <si>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</si>
  <si>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</si>
  <si>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</si>
  <si>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</si>
  <si>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</si>
  <si>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</si>
  <si>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</si>
  <si>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</si>
  <si>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</si>
  <si>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</si>
  <si>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</si>
  <si>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</si>
  <si>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</si>
  <si>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</si>
  <si>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</si>
  <si>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</si>
  <si>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</si>
  <si>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</si>
  <si>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</si>
  <si>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</si>
  <si>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</si>
  <si>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</si>
  <si>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</si>
  <si>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</si>
  <si>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</si>
  <si>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</si>
  <si>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</si>
  <si>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</si>
  <si>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</si>
  <si>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</si>
  <si>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</si>
  <si>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</si>
  <si>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</si>
  <si>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</si>
  <si>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</si>
  <si>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</si>
  <si>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</si>
  <si>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</si>
  <si>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</si>
  <si>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</si>
  <si>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</si>
  <si>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</si>
  <si>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</si>
  <si>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</si>
  <si>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</si>
  <si>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</si>
  <si>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</si>
  <si>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</si>
  <si>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</si>
  <si>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</si>
  <si>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</si>
  <si>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</si>
  <si>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</si>
  <si>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</si>
  <si>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</si>
  <si>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</si>
  <si>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</si>
  <si>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</si>
  <si>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</si>
  <si>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</si>
  <si>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</si>
  <si>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</si>
  <si>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</si>
  <si>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</si>
  <si>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</si>
  <si>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</si>
  <si>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</si>
  <si>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</si>
  <si>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</si>
  <si>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</si>
  <si>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</si>
  <si>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</si>
  <si>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</si>
  <si>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</si>
  <si>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</si>
  <si>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</si>
  <si>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</si>
  <si>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</si>
  <si>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</si>
  <si>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</si>
  <si>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</si>
  <si>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</si>
  <si>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</si>
  <si>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</si>
  <si>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</si>
  <si>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</si>
  <si>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</si>
  <si>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</si>
  <si>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</si>
  <si>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</si>
  <si>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</si>
  <si>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</si>
  <si>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</si>
  <si>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</si>
  <si>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</si>
  <si>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</si>
  <si>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</si>
  <si>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</si>
  <si>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</si>
  <si>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</si>
  <si>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</si>
  <si>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</si>
  <si>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</si>
  <si>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</si>
  <si>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</si>
  <si>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</si>
  <si>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</si>
  <si>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</si>
  <si>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</si>
  <si>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</si>
  <si>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</si>
  <si>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</si>
  <si>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</si>
  <si>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</si>
  <si>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</si>
  <si>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</si>
  <si>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</si>
  <si>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</si>
  <si>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</si>
  <si>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</si>
  <si>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</si>
  <si>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</si>
  <si>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</si>
  <si>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</si>
  <si>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</si>
  <si>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</si>
  <si>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</si>
  <si>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</si>
  <si>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</si>
  <si>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</si>
  <si>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</si>
  <si>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</si>
  <si>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</si>
  <si>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</si>
  <si>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</si>
  <si>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</si>
  <si>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</si>
  <si>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</si>
  <si>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</si>
  <si>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</si>
  <si>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</si>
  <si>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</si>
  <si>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</si>
  <si>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</si>
  <si>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</si>
  <si>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</si>
  <si>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</si>
  <si>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</si>
  <si>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</si>
  <si>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</si>
  <si>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</si>
  <si>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</si>
  <si>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</si>
  <si>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</si>
  <si>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</si>
  <si>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</si>
  <si>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</si>
  <si>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</si>
  <si>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</si>
  <si>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</si>
  <si>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</si>
  <si>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</si>
  <si>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</si>
  <si>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</si>
  <si>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</si>
  <si>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</si>
  <si>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</si>
  <si>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</si>
  <si>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</si>
  <si>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</si>
  <si>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</si>
  <si>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</si>
  <si>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</si>
  <si>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</si>
  <si>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</si>
  <si>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</si>
  <si>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</si>
  <si>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</si>
  <si>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</si>
  <si>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</si>
  <si>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</si>
  <si>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</si>
  <si>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</si>
  <si>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</si>
  <si>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</si>
  <si>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</si>
  <si>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</si>
  <si>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</si>
  <si>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</si>
  <si>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</si>
  <si>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</si>
  <si>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</si>
  <si>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</si>
  <si>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</si>
  <si>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</si>
  <si>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</si>
  <si>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</si>
  <si>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</si>
  <si>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</si>
  <si>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</si>
  <si>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</si>
  <si>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</si>
  <si>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</si>
  <si>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</si>
  <si>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</si>
  <si>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</si>
  <si>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</si>
  <si>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</si>
  <si>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</si>
  <si>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</si>
  <si>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</si>
  <si>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</si>
  <si>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</si>
  <si>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</si>
  <si>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</si>
  <si>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</si>
  <si>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</si>
  <si>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</si>
  <si>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</si>
  <si>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</si>
  <si>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</si>
  <si>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</si>
  <si>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</si>
  <si>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</si>
  <si>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</si>
  <si>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</si>
  <si>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</si>
  <si>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</si>
  <si>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</si>
  <si>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</si>
  <si>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</si>
  <si>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</si>
  <si>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</si>
  <si>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</si>
  <si>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</si>
  <si>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</si>
  <si>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</si>
  <si>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</si>
  <si>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</si>
  <si>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</si>
  <si>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</si>
  <si>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</si>
  <si>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</si>
  <si>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</si>
  <si>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</si>
  <si>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</si>
  <si>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</si>
  <si>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</si>
  <si>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</si>
  <si>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</si>
  <si>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</si>
  <si>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</si>
  <si>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</si>
  <si>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</si>
  <si>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</si>
  <si>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</si>
  <si>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</si>
  <si>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</si>
  <si>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</si>
  <si>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</si>
  <si>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</si>
  <si>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</si>
  <si>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</si>
  <si>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</si>
  <si>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</si>
  <si>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</si>
  <si>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</si>
  <si>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</si>
  <si>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</si>
  <si>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</si>
  <si>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</si>
  <si>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</si>
  <si>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</si>
  <si>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</si>
  <si>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</si>
  <si>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</si>
  <si>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</si>
  <si>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</si>
  <si>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</si>
  <si>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</si>
  <si>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</si>
  <si>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</si>
  <si>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</si>
  <si>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</si>
  <si>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</si>
  <si>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</si>
  <si>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</si>
  <si>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</si>
  <si>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</si>
  <si>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</si>
  <si>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</si>
  <si>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</si>
  <si>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</si>
  <si>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</si>
  <si>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</si>
  <si>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</si>
  <si>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</si>
  <si>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</si>
  <si>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</si>
  <si>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</si>
  <si>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</si>
  <si>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</si>
  <si>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</si>
  <si>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</si>
  <si>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</si>
  <si>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</si>
  <si>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</si>
  <si>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</si>
  <si>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</si>
  <si>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</si>
  <si>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</si>
  <si>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</si>
  <si>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</si>
  <si>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</si>
  <si>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</si>
  <si>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</si>
  <si>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</si>
  <si>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</si>
  <si>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</si>
  <si>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</si>
  <si>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</si>
  <si>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</si>
  <si>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</si>
  <si>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</si>
  <si>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</si>
  <si>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</si>
  <si>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</si>
  <si>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</si>
  <si>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</si>
  <si>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</si>
  <si>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</si>
  <si>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</si>
  <si>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</si>
  <si>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</si>
  <si>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</si>
  <si>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</si>
  <si>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</si>
  <si>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</si>
  <si>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</si>
  <si>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</si>
  <si>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</si>
  <si>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</si>
  <si>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</si>
  <si>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</si>
  <si>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</si>
  <si>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</si>
  <si>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</si>
  <si>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</si>
  <si>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</si>
  <si>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</si>
  <si>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</si>
  <si>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</si>
  <si>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</si>
  <si>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</si>
  <si>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</si>
  <si>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</si>
  <si>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</si>
  <si>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</si>
  <si>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</si>
  <si>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</si>
  <si>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</si>
  <si>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</si>
  <si>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</si>
  <si>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</si>
  <si>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</si>
  <si>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</si>
  <si>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</si>
  <si>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</si>
  <si>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</si>
  <si>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</si>
  <si>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</si>
  <si>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</si>
  <si>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</si>
  <si>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</si>
  <si>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</si>
  <si>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</si>
  <si>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</si>
  <si>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</si>
  <si>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</si>
  <si>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</si>
  <si>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</si>
  <si>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</si>
  <si>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</si>
  <si>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</si>
  <si>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</si>
  <si>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</si>
  <si>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</si>
  <si>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</si>
  <si>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</si>
  <si>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</si>
  <si>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</si>
  <si>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</si>
  <si>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</si>
  <si>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</si>
  <si>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</si>
  <si>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</si>
  <si>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</si>
  <si>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</si>
  <si>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</si>
  <si>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</si>
  <si>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</si>
  <si>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</si>
  <si>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</si>
  <si>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</si>
  <si>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</si>
  <si>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</si>
  <si>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</si>
  <si>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</si>
  <si>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</si>
  <si>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</si>
  <si>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</si>
  <si>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</si>
  <si>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</si>
  <si>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</si>
  <si>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</si>
  <si>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</si>
  <si>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</si>
  <si>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</si>
  <si>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</si>
  <si>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</si>
  <si>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</si>
  <si>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</si>
  <si>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</si>
  <si>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</si>
  <si>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</si>
  <si>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</si>
  <si>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</si>
  <si>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</si>
  <si>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</si>
  <si>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</si>
  <si>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</si>
  <si>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</si>
  <si>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</si>
  <si>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</si>
  <si>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</si>
  <si>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</si>
  <si>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</si>
  <si>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</si>
  <si>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</si>
  <si>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</si>
  <si>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</si>
  <si>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</si>
  <si>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</si>
  <si>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</si>
  <si>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</si>
  <si>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</si>
  <si>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</si>
  <si>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</si>
  <si>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</si>
  <si>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</si>
  <si>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</si>
  <si>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</si>
  <si>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</si>
  <si>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</si>
  <si>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</si>
  <si>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</si>
  <si>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</si>
  <si>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</si>
  <si>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</si>
  <si>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</si>
  <si>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</si>
  <si>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</si>
  <si>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</si>
  <si>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</si>
  <si>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</si>
  <si>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</si>
  <si>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</si>
  <si>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</si>
  <si>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</si>
  <si>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</si>
  <si>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</si>
  <si>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</si>
  <si>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</si>
  <si>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</si>
  <si>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</si>
  <si>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</si>
  <si>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</si>
  <si>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</si>
  <si>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</si>
  <si>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</si>
  <si>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</si>
  <si>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</si>
  <si>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</si>
  <si>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</si>
  <si>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</si>
  <si>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</si>
  <si>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</si>
  <si>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</si>
  <si>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</si>
  <si>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</si>
  <si>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</si>
  <si>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</si>
  <si>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</si>
  <si>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</si>
  <si>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</si>
  <si>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</si>
  <si>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</si>
  <si>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</si>
  <si>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</si>
  <si>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</si>
  <si>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</si>
  <si>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</si>
  <si>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</si>
  <si>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</si>
  <si>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</si>
  <si>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</si>
  <si>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</si>
  <si>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</si>
  <si>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</si>
  <si>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</si>
  <si>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</si>
  <si>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</si>
  <si>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</si>
  <si>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</si>
  <si>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</si>
  <si>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</si>
  <si>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</si>
  <si>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</si>
  <si>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</si>
  <si>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</si>
  <si>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</si>
  <si>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</si>
  <si>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</si>
  <si>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</si>
  <si>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</si>
  <si>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</si>
  <si>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</si>
  <si>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</si>
  <si>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</si>
  <si>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</si>
  <si>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</si>
  <si>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</si>
  <si>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</si>
  <si>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</si>
  <si>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</si>
  <si>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</si>
  <si>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</si>
  <si>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</si>
  <si>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</si>
  <si>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</si>
  <si>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</si>
  <si>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</si>
  <si>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</si>
  <si>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</si>
  <si>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</si>
  <si>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</si>
  <si>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</si>
  <si>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</si>
  <si>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</si>
  <si>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</si>
  <si>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</si>
  <si>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</si>
  <si>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</si>
  <si>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</si>
  <si>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</si>
  <si>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</si>
  <si>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</si>
  <si>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</si>
  <si>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</si>
  <si>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</si>
  <si>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</si>
  <si>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</si>
  <si>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</si>
  <si>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</si>
  <si>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</si>
  <si>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</si>
  <si>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</si>
  <si>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</si>
  <si>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</si>
  <si>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</si>
  <si>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</si>
  <si>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</si>
  <si>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</si>
  <si>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</si>
  <si>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</si>
  <si>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</si>
  <si>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</si>
  <si>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</si>
  <si>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</si>
  <si>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</si>
  <si>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</si>
  <si>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</si>
  <si>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</si>
  <si>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</si>
  <si>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</si>
  <si>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</si>
  <si>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</si>
  <si>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</si>
  <si>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</si>
  <si>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</si>
  <si>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</si>
  <si>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</si>
  <si>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</si>
  <si>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</si>
  <si>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</si>
  <si>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</si>
  <si>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</si>
  <si>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</si>
  <si>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</si>
  <si>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</si>
  <si>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</si>
  <si>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</si>
  <si>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</si>
  <si>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</si>
  <si>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</si>
  <si>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</si>
  <si>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</si>
  <si>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</si>
  <si>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</si>
  <si>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</si>
  <si>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</si>
  <si>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</si>
  <si>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</si>
  <si>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</si>
  <si>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</si>
  <si>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</si>
  <si>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</si>
  <si>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</si>
  <si>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</si>
  <si>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</si>
  <si>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</si>
  <si>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</si>
  <si>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</si>
  <si>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</si>
  <si>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</si>
  <si>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</si>
  <si>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</si>
  <si>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</si>
  <si>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</si>
  <si>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</si>
  <si>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</si>
  <si>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</si>
  <si>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</si>
  <si>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</si>
  <si>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</si>
  <si>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</si>
  <si>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</si>
  <si>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</si>
  <si>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</si>
  <si>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</si>
  <si>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</si>
  <si>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</si>
  <si>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</si>
  <si>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</si>
  <si>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</si>
  <si>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</si>
  <si>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</si>
  <si>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</si>
  <si>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</si>
  <si>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</si>
  <si>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</si>
  <si>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</si>
  <si>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</si>
  <si>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</si>
  <si>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</si>
  <si>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</si>
  <si>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</si>
  <si>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</si>
  <si>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</si>
  <si>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</si>
  <si>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</si>
  <si>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</si>
  <si>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</si>
  <si>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</si>
  <si>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</si>
  <si>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</si>
  <si>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</si>
  <si>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</si>
  <si>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</si>
  <si>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</si>
  <si>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</si>
  <si>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</si>
  <si>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</si>
  <si>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</si>
  <si>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</si>
  <si>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</si>
  <si>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</si>
  <si>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</si>
  <si>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</si>
  <si>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</si>
  <si>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</si>
  <si>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</si>
  <si>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</si>
  <si>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</si>
  <si>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</si>
  <si>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</si>
  <si>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</si>
  <si>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</si>
  <si>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</si>
  <si>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</si>
  <si>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</si>
  <si>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</si>
  <si>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</si>
  <si>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</si>
  <si>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</si>
  <si>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</si>
  <si>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</si>
  <si>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</si>
  <si>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</si>
  <si>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</si>
  <si>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</si>
  <si>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</si>
  <si>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</si>
  <si>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</si>
  <si>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</si>
  <si>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</si>
  <si>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</si>
  <si>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</si>
  <si>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</si>
  <si>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</si>
  <si>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</si>
  <si>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</si>
  <si>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</si>
  <si>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</si>
  <si>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</si>
  <si>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</si>
  <si>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</si>
  <si>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</si>
  <si>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</si>
  <si>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</si>
  <si>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</si>
  <si>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</si>
  <si>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</si>
  <si>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</si>
  <si>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</si>
  <si>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</si>
  <si>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</si>
  <si>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</si>
  <si>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</si>
  <si>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</si>
  <si>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</si>
  <si>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</si>
  <si>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</si>
  <si>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</si>
  <si>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</si>
  <si>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</si>
  <si>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</si>
  <si>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</si>
  <si>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</si>
  <si>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</si>
  <si>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</si>
  <si>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</si>
  <si>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</si>
  <si>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</si>
  <si>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</si>
  <si>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</si>
  <si>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</si>
  <si>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</si>
  <si>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</si>
  <si>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</si>
  <si>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</si>
  <si>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</si>
  <si>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</si>
  <si>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</si>
  <si>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</si>
  <si>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</si>
  <si>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</si>
  <si>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</si>
  <si>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</si>
  <si>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</si>
  <si>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</si>
  <si>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</si>
  <si>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</si>
  <si>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</si>
  <si>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</si>
  <si>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</si>
  <si>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</si>
  <si>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</si>
  <si>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</si>
  <si>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</si>
  <si>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</si>
  <si>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</si>
  <si>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</si>
  <si>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</si>
  <si>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</si>
  <si>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</si>
  <si>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</si>
  <si>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</si>
  <si>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</si>
  <si>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</si>
  <si>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</si>
  <si>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</si>
  <si>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</si>
  <si>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</si>
  <si>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</si>
  <si>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</si>
  <si>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</si>
  <si>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</si>
  <si>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</si>
  <si>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</si>
  <si>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</si>
  <si>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</si>
  <si>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</si>
  <si>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</si>
  <si>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</si>
  <si>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</si>
  <si>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</si>
  <si>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</si>
  <si>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</si>
  <si>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</si>
  <si>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</si>
  <si>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</si>
  <si>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</si>
  <si>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</si>
  <si>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</si>
  <si>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</si>
  <si>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</si>
  <si>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</si>
  <si>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</si>
  <si>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</si>
  <si>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</si>
  <si>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</si>
  <si>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</si>
  <si>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</si>
  <si>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</si>
  <si>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</si>
  <si>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</si>
  <si>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</si>
  <si>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</si>
  <si>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</si>
  <si>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</si>
  <si>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</si>
  <si>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</si>
  <si>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</si>
  <si>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</si>
  <si>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</si>
  <si>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</si>
  <si>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</si>
  <si>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</si>
  <si>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</si>
  <si>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</si>
  <si>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</si>
  <si>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</si>
  <si>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</si>
  <si>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</si>
  <si>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</si>
  <si>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</si>
  <si>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</si>
  <si>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</si>
  <si>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</si>
  <si>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</si>
  <si>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</si>
  <si>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</si>
  <si>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</si>
  <si>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</si>
  <si>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</si>
  <si>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</si>
  <si>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</si>
  <si>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</si>
  <si>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</si>
  <si>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</si>
  <si>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</si>
  <si>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</si>
  <si>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</si>
  <si>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</si>
  <si>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</si>
  <si>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</si>
  <si>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</si>
  <si>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</si>
  <si>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</si>
  <si>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</si>
  <si>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</si>
  <si>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</si>
  <si>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</si>
  <si>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</si>
  <si>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</si>
  <si>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</si>
  <si>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</si>
  <si>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</si>
  <si>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</si>
  <si>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</si>
  <si>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</si>
  <si>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</si>
  <si>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</si>
  <si>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</si>
  <si>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</si>
  <si>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</si>
  <si>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</si>
  <si>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</si>
  <si>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</si>
  <si>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</si>
  <si>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</si>
  <si>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</si>
  <si>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</si>
  <si>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</si>
  <si>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</si>
  <si>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</si>
  <si>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</si>
  <si>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</si>
  <si>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</si>
  <si>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</si>
  <si>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</si>
  <si>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</si>
  <si>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</si>
  <si>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</si>
  <si>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</si>
  <si>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</si>
  <si>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</si>
  <si>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</si>
  <si>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</si>
  <si>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</si>
  <si>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</si>
  <si>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</si>
  <si>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</si>
  <si>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</si>
  <si>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</si>
  <si>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</si>
  <si>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</si>
  <si>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</si>
  <si>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</si>
  <si>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</si>
  <si>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</si>
  <si>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</si>
  <si>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</si>
  <si>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</si>
  <si>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</si>
  <si>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</si>
  <si>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</si>
  <si>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</si>
  <si>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</si>
  <si>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</si>
  <si>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</si>
  <si>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</si>
  <si>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</si>
  <si>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</si>
  <si>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</si>
  <si>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</si>
  <si>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</si>
  <si>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</si>
  <si>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</si>
  <si>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</si>
  <si>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</si>
  <si>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</si>
  <si>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</si>
  <si>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</si>
  <si>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</si>
  <si>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</si>
  <si>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</si>
  <si>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</si>
  <si>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</si>
  <si>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</si>
  <si>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</si>
  <si>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</si>
  <si>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</si>
  <si>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</si>
  <si>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</si>
  <si>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</si>
  <si>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</si>
  <si>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</si>
  <si>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</si>
  <si>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</si>
  <si>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</si>
  <si>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</si>
  <si>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</si>
  <si>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</si>
  <si>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</si>
  <si>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</si>
  <si>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</si>
  <si>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</si>
  <si>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</si>
  <si>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</si>
  <si>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</si>
  <si>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</si>
  <si>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</si>
  <si>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</si>
  <si>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</si>
  <si>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</si>
  <si>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</si>
  <si>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</si>
  <si>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</si>
  <si>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</si>
  <si>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</si>
  <si>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</si>
  <si>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</si>
  <si>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</si>
  <si>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</si>
  <si>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</si>
  <si>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</si>
  <si>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</si>
  <si>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</si>
  <si>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</si>
  <si>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</si>
  <si>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</si>
  <si>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</si>
  <si>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</si>
  <si>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</si>
  <si>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</si>
  <si>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</si>
  <si>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</si>
  <si>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</si>
  <si>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</si>
  <si>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</si>
  <si>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</si>
  <si>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</si>
  <si>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</si>
  <si>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</si>
  <si>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</si>
  <si>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</si>
  <si>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</si>
  <si>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</si>
  <si>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</si>
  <si>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</si>
  <si>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</si>
  <si>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</si>
  <si>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</si>
  <si>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</si>
  <si>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</si>
  <si>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</si>
  <si>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</si>
  <si>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</si>
  <si>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</si>
  <si>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</si>
  <si>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</si>
  <si>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</si>
  <si>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</si>
  <si>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</si>
  <si>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</si>
  <si>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</si>
  <si>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</si>
  <si>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</si>
  <si>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</si>
  <si>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</si>
  <si>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</si>
  <si>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</si>
  <si>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</si>
  <si>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</si>
  <si>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</si>
  <si>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</si>
  <si>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</si>
  <si>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</si>
  <si>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</si>
  <si>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</si>
  <si>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</si>
  <si>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</si>
  <si>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</si>
  <si>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</si>
  <si>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</si>
  <si>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</si>
  <si>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</si>
  <si>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</si>
  <si>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</si>
  <si>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</si>
  <si>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</si>
  <si>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</si>
  <si>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</si>
  <si>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</si>
  <si>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</si>
  <si>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</si>
  <si>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</si>
  <si>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</si>
  <si>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</si>
  <si>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</si>
  <si>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</si>
  <si>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</si>
  <si>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</si>
  <si>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</si>
  <si>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</si>
  <si>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</si>
  <si>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</si>
  <si>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</si>
  <si>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</si>
  <si>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</si>
  <si>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</si>
  <si>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</si>
  <si>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</si>
  <si>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</si>
  <si>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</si>
  <si>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</si>
  <si>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</si>
  <si>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</si>
  <si>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</si>
  <si>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</si>
  <si>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</si>
  <si>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</si>
  <si>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</si>
  <si>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</si>
  <si>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</si>
  <si>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</si>
  <si>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</si>
  <si>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</si>
  <si>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</si>
  <si>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</si>
  <si>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</si>
  <si>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</si>
  <si>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</si>
  <si>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</si>
  <si>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</si>
  <si>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</si>
  <si>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</si>
  <si>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</si>
  <si>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</si>
  <si>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</si>
  <si>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</si>
  <si>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</si>
  <si>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</si>
  <si>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</si>
  <si>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</si>
  <si>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</si>
  <si>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</si>
  <si>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</si>
  <si>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</si>
  <si>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</si>
  <si>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</si>
  <si>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</si>
  <si>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</si>
  <si>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</si>
  <si>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</si>
  <si>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</si>
  <si>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</si>
  <si>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</si>
  <si>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</si>
  <si>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</si>
  <si>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</si>
  <si>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</si>
  <si>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</si>
  <si>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</si>
  <si>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</si>
  <si>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</si>
  <si>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</si>
  <si>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</si>
  <si>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</si>
  <si>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</si>
  <si>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</si>
  <si>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</si>
  <si>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</si>
  <si>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</si>
  <si>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</si>
  <si>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</si>
  <si>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</si>
  <si>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</si>
  <si>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</si>
  <si>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</si>
  <si>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</si>
  <si>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</si>
  <si>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</si>
  <si>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</si>
  <si>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</si>
  <si>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</si>
  <si>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</si>
  <si>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</si>
  <si>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</si>
  <si>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</si>
  <si>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</si>
  <si>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</si>
  <si>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</si>
  <si>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</si>
  <si>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</si>
  <si>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</si>
  <si>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</si>
  <si>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</si>
  <si>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</si>
  <si>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</si>
  <si>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</si>
  <si>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</si>
  <si>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</si>
  <si>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</si>
  <si>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</si>
  <si>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</si>
  <si>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</si>
  <si>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</si>
  <si>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</si>
  <si>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</si>
  <si>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</si>
  <si>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</si>
  <si>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</si>
  <si>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</si>
  <si>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</si>
  <si>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</si>
  <si>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</si>
  <si>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</si>
  <si>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</si>
  <si>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</si>
  <si>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</si>
  <si>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</si>
  <si>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</si>
  <si>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</si>
  <si>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</si>
  <si>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</si>
  <si>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</si>
  <si>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</si>
  <si>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</si>
  <si>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</si>
  <si>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</si>
  <si>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</si>
  <si>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</si>
  <si>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</si>
  <si>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</si>
  <si>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</si>
  <si>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</si>
  <si>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</si>
  <si>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</si>
  <si>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</si>
  <si>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</si>
  <si>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</si>
  <si>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</si>
  <si>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</si>
  <si>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</si>
  <si>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</si>
  <si>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</si>
  <si>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</si>
  <si>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</si>
  <si>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</si>
  <si>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</si>
  <si>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</si>
  <si>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</si>
  <si>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</si>
  <si>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</si>
  <si>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</si>
  <si>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</si>
  <si>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</si>
  <si>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</si>
  <si>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</si>
  <si>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</si>
  <si>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</si>
  <si>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</si>
  <si>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</si>
  <si>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</si>
  <si>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</si>
  <si>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</si>
  <si>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</si>
  <si>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</si>
  <si>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</si>
  <si>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</si>
  <si>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</si>
  <si>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</si>
  <si>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</si>
  <si>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</si>
  <si>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</si>
  <si>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</si>
  <si>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</si>
  <si>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</si>
  <si>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</si>
  <si>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</si>
  <si>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</si>
  <si>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</si>
  <si>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</si>
  <si>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</si>
  <si>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</si>
  <si>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</si>
  <si>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</si>
  <si>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</si>
  <si>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</si>
  <si>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</si>
  <si>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</si>
  <si>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</si>
  <si>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</si>
  <si>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</si>
  <si>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</si>
  <si>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</si>
  <si>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</si>
  <si>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</si>
  <si>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</si>
  <si>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</si>
  <si>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</si>
  <si>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</si>
  <si>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</si>
  <si>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</si>
  <si>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</si>
  <si>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</si>
  <si>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</si>
  <si>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</si>
  <si>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</si>
  <si>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</si>
  <si>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</si>
  <si>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</si>
  <si>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</si>
  <si>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</si>
  <si>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</si>
  <si>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</si>
  <si>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</si>
  <si>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</si>
  <si>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</si>
  <si>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</si>
  <si>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</si>
  <si>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</si>
  <si>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</si>
  <si>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</si>
  <si>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</si>
  <si>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</si>
  <si>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</si>
  <si>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</si>
  <si>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</si>
  <si>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</si>
  <si>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</si>
  <si>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</si>
  <si>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</si>
  <si>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</si>
  <si>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</si>
  <si>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</si>
  <si>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</si>
  <si>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</si>
  <si>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</si>
  <si>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</si>
  <si>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</si>
  <si>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</si>
  <si>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</si>
  <si>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</si>
  <si>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</si>
  <si>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</si>
  <si>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</si>
  <si>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</si>
  <si>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</si>
  <si>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</si>
  <si>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</si>
  <si>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</si>
  <si>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</si>
  <si>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</si>
  <si>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</si>
  <si>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</si>
  <si>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</si>
  <si>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</si>
  <si>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</si>
  <si>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</si>
  <si>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</si>
  <si>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</si>
  <si>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</si>
  <si>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</si>
  <si>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</si>
  <si>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</si>
  <si>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</si>
  <si>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</si>
  <si>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</si>
  <si>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</si>
  <si>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</si>
  <si>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</si>
  <si>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</si>
  <si>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</si>
  <si>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</si>
  <si>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</si>
  <si>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</si>
  <si>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</si>
  <si>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</si>
  <si>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</si>
  <si>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</si>
  <si>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</si>
  <si>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</si>
  <si>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</si>
  <si>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</si>
  <si>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</si>
  <si>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</si>
  <si>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</si>
  <si>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</si>
  <si>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</si>
  <si>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</si>
  <si>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</si>
  <si>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</si>
  <si>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</si>
  <si>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</si>
  <si>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</si>
  <si>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</si>
  <si>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</si>
  <si>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</si>
  <si>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</si>
  <si>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</si>
  <si>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</si>
  <si>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</si>
  <si>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</si>
  <si>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</si>
  <si>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</si>
  <si>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</si>
  <si>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</si>
  <si>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</si>
  <si>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</si>
  <si>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</si>
  <si>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</si>
  <si>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</si>
  <si>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</si>
  <si>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</si>
  <si>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</si>
  <si>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</si>
  <si>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</si>
  <si>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</si>
  <si>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</si>
  <si>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</si>
  <si>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</si>
  <si>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</si>
  <si>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</si>
  <si>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</si>
  <si>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</si>
  <si>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</si>
  <si>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</si>
  <si>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</si>
  <si>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</si>
  <si>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</si>
  <si>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</si>
  <si>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</si>
  <si>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</si>
  <si>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</si>
  <si>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</si>
  <si>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</si>
  <si>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</si>
  <si>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</si>
  <si>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</si>
  <si>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</si>
  <si>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</si>
  <si>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</si>
  <si>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</si>
  <si>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</si>
  <si>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</si>
  <si>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</si>
  <si>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</si>
  <si>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</si>
  <si>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</si>
  <si>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</si>
  <si>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</si>
  <si>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</si>
  <si>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</si>
  <si>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</si>
  <si>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</si>
  <si>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</si>
  <si>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</si>
  <si>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</si>
  <si>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</si>
  <si>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</si>
  <si>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</si>
  <si>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</si>
  <si>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</si>
  <si>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</si>
  <si>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</si>
  <si>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</si>
  <si>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</si>
  <si>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</si>
  <si>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</si>
  <si>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</si>
  <si>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</si>
  <si>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</si>
  <si>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</si>
  <si>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</si>
  <si>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</si>
  <si>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</si>
  <si>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</si>
  <si>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</si>
  <si>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</si>
  <si>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</si>
  <si>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</si>
  <si>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</si>
  <si>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</si>
  <si>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</si>
  <si>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</si>
  <si>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</si>
  <si>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</si>
  <si>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</si>
  <si>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</si>
  <si>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</si>
  <si>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</si>
  <si>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</si>
  <si>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</si>
  <si>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</si>
  <si>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</si>
  <si>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</si>
  <si>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</si>
  <si>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</si>
  <si>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</si>
  <si>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</si>
  <si>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</si>
  <si>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</si>
  <si>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</si>
  <si>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</si>
  <si>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</si>
  <si>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</si>
  <si>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</si>
  <si>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</si>
  <si>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</si>
  <si>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</si>
  <si>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</si>
  <si>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</si>
  <si>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</si>
  <si>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</si>
  <si>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</si>
  <si>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</si>
  <si>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</si>
  <si>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</si>
  <si>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</si>
  <si>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</si>
  <si>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</si>
  <si>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</si>
  <si>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</si>
  <si>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</si>
  <si>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</si>
  <si>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</si>
  <si>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</si>
  <si>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</si>
  <si>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</si>
  <si>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</si>
  <si>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</si>
  <si>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</si>
  <si>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</si>
  <si>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</si>
  <si>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</si>
  <si>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</si>
  <si>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</si>
  <si>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</si>
  <si>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</si>
  <si>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</si>
  <si>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</si>
  <si>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</si>
  <si>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</si>
  <si>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</si>
  <si>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</si>
  <si>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</si>
  <si>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</si>
  <si>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</si>
  <si>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</si>
  <si>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</si>
  <si>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</si>
  <si>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</si>
  <si>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</si>
  <si>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</si>
  <si>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</si>
  <si>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</si>
  <si>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</si>
  <si>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</si>
  <si>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</si>
  <si>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</si>
  <si>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</si>
  <si>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</si>
  <si>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</si>
  <si>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</si>
  <si>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</si>
  <si>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</si>
  <si>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</si>
  <si>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</si>
  <si>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</si>
  <si>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</si>
  <si>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</si>
  <si>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</si>
  <si>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</si>
  <si>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</si>
  <si>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</si>
  <si>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</si>
  <si>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</si>
  <si>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</si>
  <si>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</si>
  <si>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</si>
  <si>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</si>
  <si>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</si>
  <si>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</si>
  <si>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</si>
  <si>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</si>
  <si>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</si>
  <si>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</si>
  <si>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</si>
  <si>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</si>
  <si>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</si>
  <si>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</si>
  <si>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</si>
  <si>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</si>
  <si>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</si>
  <si>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</si>
  <si>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</si>
  <si>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</si>
  <si>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</si>
  <si>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</si>
  <si>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</si>
  <si>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</si>
  <si>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</si>
  <si>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</si>
  <si>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</si>
  <si>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</si>
  <si>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</si>
  <si>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</si>
  <si>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</si>
  <si>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</si>
  <si>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</si>
  <si>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</si>
  <si>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</si>
  <si>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</si>
  <si>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</si>
  <si>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</si>
  <si>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</si>
  <si>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</si>
  <si>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</si>
  <si>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</si>
  <si>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</si>
  <si>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</si>
  <si>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</si>
  <si>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</si>
  <si>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</si>
  <si>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</si>
  <si>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</si>
  <si>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</si>
  <si>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</si>
  <si>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</si>
  <si>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</si>
  <si>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</si>
  <si>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</si>
  <si>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</si>
  <si>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</si>
  <si>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</si>
  <si>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</si>
  <si>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</si>
  <si>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</si>
  <si>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</si>
  <si>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</si>
  <si>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</si>
  <si>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</si>
  <si>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</si>
  <si>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</si>
  <si>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</si>
  <si>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</si>
  <si>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</si>
  <si>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</si>
  <si>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</si>
  <si>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</si>
  <si>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</si>
  <si>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</si>
  <si>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</si>
  <si>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</si>
  <si>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</si>
  <si>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</si>
  <si>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</si>
  <si>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</si>
  <si>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</si>
  <si>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</si>
  <si>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</si>
  <si>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</si>
  <si>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</si>
  <si>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</si>
  <si>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</si>
  <si>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</si>
  <si>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</si>
  <si>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</si>
  <si>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</si>
  <si>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</si>
  <si>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</si>
  <si>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</si>
  <si>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</si>
  <si>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</si>
  <si>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</si>
  <si>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</si>
  <si>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</si>
  <si>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</si>
  <si>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</si>
  <si>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</si>
  <si>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</si>
  <si>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</si>
  <si>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</si>
  <si>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</si>
  <si>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</si>
  <si>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</si>
  <si>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</si>
  <si>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</si>
  <si>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</si>
  <si>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</si>
  <si>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</si>
  <si>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</si>
  <si>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</si>
  <si>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</si>
  <si>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</si>
  <si>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</si>
  <si>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</si>
  <si>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</si>
  <si>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</si>
  <si>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</si>
  <si>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</si>
  <si>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</si>
  <si>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</si>
  <si>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</si>
  <si>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</si>
  <si>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</si>
  <si>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</si>
  <si>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</si>
  <si>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</si>
  <si>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</si>
  <si>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</si>
  <si>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</si>
  <si>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</si>
  <si>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</si>
  <si>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</si>
  <si>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</si>
  <si>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</si>
  <si>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</si>
  <si>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</si>
  <si>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</si>
  <si>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</si>
  <si>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</si>
  <si>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</si>
  <si>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</si>
  <si>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</si>
  <si>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</si>
  <si>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</si>
  <si>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</si>
  <si>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</si>
  <si>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</si>
  <si>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</si>
  <si>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</si>
  <si>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</si>
  <si>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</si>
  <si>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</si>
  <si>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</si>
  <si>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</si>
  <si>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</si>
  <si>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</si>
  <si>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</si>
  <si>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</si>
  <si>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</si>
  <si>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</si>
  <si>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</si>
  <si>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</si>
  <si>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</si>
  <si>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</si>
  <si>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</si>
  <si>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</si>
  <si>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</si>
  <si>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</si>
  <si>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</si>
  <si>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</si>
  <si>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</si>
  <si>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</si>
  <si>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</si>
  <si>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</si>
  <si>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</si>
  <si>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</si>
  <si>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</si>
  <si>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</si>
  <si>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</si>
  <si>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</si>
  <si>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</si>
  <si>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</si>
  <si>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</si>
  <si>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</si>
  <si>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</si>
  <si>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</si>
  <si>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</si>
  <si>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</si>
  <si>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</si>
  <si>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</si>
  <si>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</si>
  <si>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</si>
  <si>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</si>
  <si>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</si>
  <si>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</si>
  <si>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</si>
  <si>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</si>
  <si>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</si>
  <si>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</si>
  <si>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</si>
  <si>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</si>
  <si>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</si>
  <si>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</si>
  <si>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</si>
  <si>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</si>
  <si>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</si>
  <si>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</si>
  <si>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</si>
  <si>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</si>
  <si>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</si>
  <si>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</si>
  <si>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</si>
  <si>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</si>
  <si>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</si>
  <si>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</si>
  <si>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</si>
  <si>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</si>
  <si>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</si>
  <si>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</si>
  <si>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</si>
  <si>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</si>
  <si>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</si>
  <si>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</si>
  <si>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</si>
  <si>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</si>
  <si>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</si>
  <si>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</si>
  <si>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</si>
  <si>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</si>
  <si>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</si>
  <si>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</si>
  <si>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</si>
  <si>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</si>
  <si>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</si>
  <si>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</si>
  <si>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</si>
  <si>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</si>
  <si>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</si>
  <si>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</si>
  <si>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</si>
  <si>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</si>
  <si>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</si>
  <si>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</si>
  <si>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</si>
  <si>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</si>
  <si>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</si>
  <si>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</si>
  <si>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</si>
  <si>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</si>
  <si>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</si>
  <si>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</si>
  <si>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</si>
  <si>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</si>
  <si>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</si>
  <si>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</si>
  <si>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</si>
  <si>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</si>
  <si>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</si>
  <si>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</si>
  <si>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</si>
  <si>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</si>
  <si>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</si>
  <si>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</si>
  <si>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</si>
  <si>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</si>
  <si>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</si>
  <si>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</si>
  <si>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</si>
  <si>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</si>
  <si>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</si>
  <si>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</si>
  <si>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</si>
  <si>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</si>
  <si>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</si>
  <si>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</si>
  <si>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</si>
  <si>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</si>
  <si>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</si>
  <si>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</si>
  <si>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</si>
  <si>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</si>
  <si>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</si>
  <si>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</si>
  <si>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</si>
  <si>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</si>
  <si>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</si>
  <si>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</si>
  <si>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</si>
  <si>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</si>
  <si>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</si>
  <si>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</si>
  <si>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</si>
  <si>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</si>
  <si>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</si>
  <si>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</si>
  <si>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</si>
  <si>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</si>
  <si>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</si>
  <si>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</si>
  <si>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</si>
  <si>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</si>
  <si>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</si>
  <si>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</si>
  <si>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</si>
  <si>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</si>
  <si>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</si>
  <si>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</si>
  <si>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</si>
  <si>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</si>
  <si>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</si>
  <si>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</si>
  <si>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</si>
  <si>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</si>
  <si>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</si>
  <si>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</si>
  <si>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</si>
  <si>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</si>
  <si>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</si>
  <si>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</si>
  <si>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</si>
  <si>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</si>
  <si>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</si>
  <si>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</si>
  <si>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</si>
  <si>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</si>
  <si>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</si>
  <si>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</si>
  <si>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</si>
  <si>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</si>
  <si>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</si>
  <si>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</si>
  <si>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</si>
  <si>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</si>
  <si>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</si>
  <si>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</si>
  <si>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</si>
  <si>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</si>
  <si>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</si>
  <si>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</si>
  <si>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</si>
  <si>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</si>
  <si>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</si>
  <si>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</si>
  <si>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</si>
  <si>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</si>
  <si>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</si>
  <si>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</si>
  <si>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</si>
  <si>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</si>
  <si>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</si>
  <si>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</si>
  <si>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</si>
  <si>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</si>
  <si>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</si>
  <si>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</si>
  <si>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</si>
  <si>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</si>
  <si>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</si>
  <si>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</si>
  <si>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</si>
  <si>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</si>
  <si>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</si>
  <si>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</si>
  <si>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</si>
  <si>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</si>
  <si>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</si>
  <si>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</si>
  <si>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</si>
  <si>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</si>
  <si>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</si>
  <si>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</si>
  <si>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</si>
  <si>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</si>
  <si>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</si>
  <si>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</si>
  <si>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</si>
  <si>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</si>
  <si>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</si>
  <si>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</si>
  <si>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</si>
  <si>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</si>
  <si>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</si>
  <si>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</si>
  <si>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</si>
  <si>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</si>
  <si>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</si>
  <si>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</si>
  <si>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</si>
  <si>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</si>
  <si>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</si>
  <si>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</si>
  <si>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</si>
  <si>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</si>
  <si>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</si>
  <si>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</si>
  <si>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</si>
  <si>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</si>
  <si>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</si>
  <si>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</si>
  <si>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</si>
  <si>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</si>
  <si>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</si>
  <si>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</si>
  <si>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</si>
  <si>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</si>
  <si>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</si>
  <si>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</si>
  <si>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</si>
  <si>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</si>
  <si>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</si>
  <si>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</si>
  <si>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</si>
  <si>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</si>
  <si>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</si>
  <si>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</si>
  <si>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</si>
  <si>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</si>
  <si>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</si>
  <si>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</si>
  <si>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</si>
  <si>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</si>
  <si>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</si>
  <si>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</si>
  <si>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</si>
  <si>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</si>
  <si>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</si>
  <si>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</si>
  <si>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</si>
  <si>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</si>
  <si>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</si>
  <si>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</si>
  <si>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</si>
  <si>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</si>
  <si>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</si>
  <si>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</si>
  <si>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</si>
  <si>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</si>
  <si>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</si>
  <si>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</si>
  <si>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</si>
  <si>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</si>
  <si>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</si>
  <si>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</si>
  <si>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</si>
  <si>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</si>
  <si>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</si>
  <si>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</si>
  <si>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</si>
  <si>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</si>
  <si>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</si>
  <si>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</si>
  <si>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</si>
  <si>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</si>
  <si>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</si>
  <si>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</si>
  <si>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</si>
  <si>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</si>
  <si>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</si>
  <si>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</si>
  <si>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</si>
  <si>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</si>
  <si>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</si>
  <si>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</si>
  <si>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</si>
  <si>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</si>
  <si>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</si>
  <si>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</si>
  <si>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</si>
  <si>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</si>
  <si>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</si>
  <si>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</si>
  <si>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</si>
  <si>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</si>
  <si>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</si>
  <si>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</si>
  <si>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</si>
  <si>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</si>
  <si>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</si>
  <si>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</si>
  <si>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</si>
  <si>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</si>
  <si>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</si>
  <si>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</si>
  <si>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</si>
  <si>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</si>
  <si>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</si>
  <si>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</si>
  <si>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</si>
  <si>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</si>
  <si>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</si>
  <si>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</si>
  <si>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</si>
  <si>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</si>
  <si>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</si>
  <si>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</si>
  <si>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</si>
  <si>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</si>
  <si>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</si>
  <si>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</si>
  <si>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</si>
  <si>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</si>
  <si>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</si>
  <si>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</si>
  <si>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</si>
  <si>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</si>
  <si>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</si>
  <si>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</si>
  <si>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</si>
  <si>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</si>
  <si>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</si>
  <si>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</si>
  <si>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</si>
  <si>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</si>
  <si>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</si>
  <si>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</si>
  <si>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</si>
  <si>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</si>
  <si>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</si>
  <si>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</si>
  <si>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</si>
  <si>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</si>
  <si>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</si>
  <si>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</si>
  <si>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</si>
  <si>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</si>
  <si>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</si>
  <si>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</si>
  <si>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</si>
  <si>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</si>
  <si>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</si>
  <si>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</si>
  <si>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</si>
  <si>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</si>
  <si>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</si>
  <si>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</si>
  <si>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</si>
  <si>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</si>
  <si>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</si>
  <si>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</si>
  <si>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</si>
  <si>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</si>
  <si>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</si>
  <si>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</si>
  <si>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</si>
  <si>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</si>
  <si>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</si>
  <si>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</si>
  <si>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</si>
  <si>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</si>
  <si>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</si>
  <si>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</si>
  <si>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</si>
  <si>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</si>
  <si>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</si>
  <si>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</si>
  <si>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</si>
  <si>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</si>
  <si>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</si>
  <si>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</si>
  <si>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</si>
  <si>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</si>
  <si>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</si>
  <si>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</si>
  <si>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</si>
  <si>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</si>
  <si>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</si>
  <si>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</si>
  <si>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</si>
  <si>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</si>
  <si>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</si>
  <si>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</si>
  <si>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</si>
  <si>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</si>
  <si>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</si>
  <si>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</si>
  <si>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</si>
  <si>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</si>
  <si>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</si>
  <si>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</si>
  <si>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</si>
  <si>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</si>
  <si>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</si>
  <si>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</si>
  <si>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</si>
  <si>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</si>
  <si>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</si>
  <si>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</si>
  <si>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</si>
  <si>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</si>
  <si>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</si>
  <si>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</si>
  <si>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</si>
  <si>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</si>
  <si>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</si>
  <si>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</si>
  <si>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</si>
  <si>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</si>
  <si>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</si>
  <si>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</si>
  <si>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</si>
  <si>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</si>
  <si>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</si>
  <si>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</si>
  <si>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</si>
  <si>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</si>
  <si>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</si>
  <si>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</si>
  <si>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</si>
  <si>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</si>
  <si>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</si>
  <si>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</si>
  <si>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</si>
  <si>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</si>
  <si>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</si>
  <si>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</si>
  <si>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</si>
  <si>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</si>
  <si>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</si>
  <si>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</si>
  <si>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</si>
  <si>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</si>
  <si>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</si>
  <si>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</si>
  <si>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</si>
  <si>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</si>
  <si>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</si>
  <si>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</si>
  <si>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</si>
  <si>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</si>
  <si>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</si>
  <si>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</si>
  <si>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</si>
  <si>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</si>
  <si>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</si>
  <si>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</si>
  <si>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</si>
  <si>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</si>
  <si>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</si>
  <si>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</si>
  <si>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</si>
  <si>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</si>
  <si>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</si>
  <si>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</si>
  <si>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</si>
  <si>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</si>
  <si>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</si>
  <si>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</si>
  <si>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</si>
  <si>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</si>
  <si>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</si>
  <si>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</si>
  <si>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</si>
  <si>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</si>
  <si>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</si>
  <si>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</si>
  <si>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</si>
  <si>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</si>
  <si>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</si>
  <si>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</si>
  <si>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</si>
  <si>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</si>
  <si>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</si>
  <si>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</si>
  <si>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</si>
  <si>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</si>
  <si>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</si>
  <si>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</si>
  <si>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</si>
  <si>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</si>
  <si>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</si>
  <si>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</si>
  <si>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</si>
  <si>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</si>
  <si>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</si>
  <si>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</si>
  <si>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</si>
  <si>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</si>
  <si>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</si>
  <si>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</si>
  <si>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</si>
  <si>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</si>
  <si>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</si>
  <si>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</si>
  <si>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</si>
  <si>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</si>
  <si>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</si>
  <si>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</si>
  <si>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</si>
  <si>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</si>
  <si>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</si>
  <si>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</si>
  <si>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</si>
  <si>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</si>
  <si>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</si>
  <si>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</si>
  <si>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</si>
  <si>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</si>
  <si>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</si>
  <si>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</si>
  <si>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</si>
  <si>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</si>
  <si>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</si>
  <si>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</si>
  <si>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</si>
  <si>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</si>
  <si>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</si>
  <si>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</si>
  <si>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</si>
  <si>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</si>
  <si>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</si>
  <si>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</si>
  <si>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</si>
  <si>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</si>
  <si>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</si>
  <si>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</si>
  <si>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</si>
  <si>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</si>
  <si>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</si>
  <si>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</si>
  <si>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</si>
  <si>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</si>
  <si>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</si>
  <si>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</si>
  <si>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</si>
  <si>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</si>
  <si>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</si>
  <si>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</si>
  <si>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</si>
  <si>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</si>
  <si>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</si>
  <si>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</si>
  <si>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</si>
  <si>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</si>
  <si>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</si>
  <si>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</si>
  <si>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</si>
  <si>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</si>
  <si>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</si>
  <si>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</si>
  <si>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</si>
  <si>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</si>
  <si>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</si>
  <si>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</si>
  <si>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</si>
  <si>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</si>
  <si>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</si>
  <si>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</si>
  <si>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</si>
  <si>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</si>
  <si>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</si>
  <si>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</si>
  <si>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</si>
  <si>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</si>
  <si>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</si>
  <si>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</si>
  <si>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</si>
  <si>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</si>
  <si>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</si>
  <si>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</si>
  <si>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</si>
  <si>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</si>
  <si>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</si>
  <si>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</si>
  <si>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</si>
  <si>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</si>
  <si>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</si>
  <si>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</si>
  <si>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</si>
  <si>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</si>
  <si>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</si>
  <si>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</si>
  <si>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</si>
  <si>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</si>
  <si>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</si>
  <si>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</si>
  <si>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</si>
  <si>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</si>
  <si>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</si>
  <si>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</si>
  <si>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</si>
  <si>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</si>
  <si>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</si>
  <si>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</si>
  <si>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</si>
  <si>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</si>
  <si>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</si>
  <si>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</si>
  <si>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</si>
  <si>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</si>
  <si>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</si>
  <si>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</si>
  <si>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</si>
  <si>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</si>
  <si>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</si>
  <si>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</si>
  <si>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</si>
  <si>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</si>
  <si>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</si>
  <si>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</si>
  <si>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</si>
  <si>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</si>
  <si>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</si>
  <si>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</si>
  <si>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</si>
  <si>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</si>
  <si>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</si>
  <si>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</si>
  <si>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</si>
  <si>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</si>
  <si>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</si>
  <si>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</si>
  <si>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</si>
  <si>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</si>
  <si>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</si>
  <si>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</si>
  <si>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</si>
  <si>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</si>
  <si>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</si>
  <si>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</si>
  <si>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</si>
  <si>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</si>
  <si>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</si>
  <si>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</si>
  <si>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</si>
  <si>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</si>
  <si>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</si>
  <si>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</si>
  <si>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</si>
  <si>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</si>
  <si>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</si>
  <si>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</si>
  <si>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</si>
  <si>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</si>
  <si>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</si>
  <si>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</si>
  <si>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</si>
  <si>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</si>
  <si>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</si>
  <si>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</si>
  <si>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</si>
  <si>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</si>
  <si>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</si>
  <si>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</si>
  <si>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</si>
  <si>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</si>
  <si>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</si>
  <si>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</si>
  <si>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</si>
  <si>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</si>
  <si>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</si>
  <si>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</si>
  <si>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</si>
  <si>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</si>
  <si>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</si>
  <si>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</si>
  <si>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</si>
  <si>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</si>
  <si>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</si>
  <si>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</si>
  <si>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</si>
  <si>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</si>
  <si>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</si>
  <si>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</si>
  <si>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</si>
  <si>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</si>
  <si>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</si>
  <si>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</si>
  <si>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</si>
  <si>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</si>
  <si>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</si>
  <si>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</si>
  <si>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</si>
  <si>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</si>
  <si>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</si>
  <si>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</si>
  <si>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</si>
  <si>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</si>
  <si>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</si>
  <si>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</si>
  <si>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</si>
  <si>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</si>
  <si>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</si>
  <si>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</si>
  <si>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</si>
  <si>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</si>
  <si>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</si>
  <si>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</si>
  <si>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</si>
  <si>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</si>
  <si>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</si>
  <si>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</si>
  <si>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</si>
  <si>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</si>
  <si>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</si>
  <si>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</si>
  <si>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</si>
  <si>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</si>
  <si>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</si>
  <si>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</si>
  <si>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</si>
  <si>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</si>
  <si>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</si>
  <si>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</si>
  <si>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</si>
  <si>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</si>
  <si>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</si>
  <si>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</si>
  <si>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</si>
  <si>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</si>
  <si>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</si>
  <si>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</si>
  <si>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</si>
  <si>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</si>
  <si>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</si>
  <si>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</si>
  <si>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</si>
  <si>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</si>
  <si>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</si>
  <si>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</si>
  <si>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</si>
  <si>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</si>
  <si>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</si>
  <si>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</si>
  <si>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</si>
  <si>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</si>
  <si>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</si>
  <si>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</si>
  <si>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</si>
  <si>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</si>
  <si>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</si>
  <si>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</si>
  <si>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</si>
  <si>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</si>
  <si>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</si>
  <si>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</si>
  <si>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</si>
  <si>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</si>
  <si>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</si>
  <si>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</si>
  <si>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</si>
  <si>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</si>
  <si>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</si>
  <si>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</si>
  <si>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</si>
  <si>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</si>
  <si>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</si>
  <si>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</si>
  <si>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</si>
  <si>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</si>
  <si>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</si>
  <si>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</si>
  <si>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</si>
  <si>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</si>
  <si>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</si>
  <si>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</si>
  <si>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</si>
  <si>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</si>
  <si>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</si>
  <si>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</si>
  <si>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</si>
  <si>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</si>
  <si>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</si>
  <si>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</si>
  <si>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</si>
  <si>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</si>
  <si>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</si>
  <si>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</si>
  <si>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</si>
  <si>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</si>
  <si>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</si>
  <si>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</si>
  <si>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</si>
  <si>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</si>
  <si>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</si>
  <si>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</si>
  <si>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</si>
  <si>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</si>
  <si>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</si>
  <si>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</si>
  <si>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</si>
  <si>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</si>
  <si>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</si>
  <si>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</si>
  <si>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</si>
  <si>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</si>
  <si>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</si>
  <si>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</si>
  <si>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</si>
  <si>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</si>
  <si>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</si>
  <si>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</si>
  <si>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</si>
  <si>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</si>
  <si>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</si>
  <si>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</si>
  <si>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</si>
  <si>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</si>
  <si>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</si>
  <si>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</si>
  <si>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</si>
  <si>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</si>
  <si>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</si>
  <si>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</si>
  <si>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</si>
  <si>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</si>
  <si>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</si>
  <si>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</si>
  <si>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</si>
  <si>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</si>
  <si>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</si>
  <si>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</si>
  <si>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</si>
  <si>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</si>
  <si>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</si>
  <si>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</si>
  <si>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</si>
  <si>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</si>
  <si>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</si>
  <si>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</si>
  <si>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</si>
  <si>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</si>
  <si>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</si>
  <si>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</si>
  <si>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</si>
  <si>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</si>
  <si>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</si>
  <si>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</si>
  <si>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</si>
  <si>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</si>
  <si>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</si>
  <si>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</si>
  <si>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</si>
  <si>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</si>
  <si>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</si>
  <si>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</si>
  <si>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</si>
  <si>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</si>
  <si>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</si>
  <si>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</si>
  <si>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</si>
  <si>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</si>
  <si>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</si>
  <si>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</si>
  <si>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</si>
  <si>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</si>
  <si>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</si>
  <si>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</si>
  <si>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</si>
  <si>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</si>
  <si>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</si>
  <si>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</si>
  <si>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</si>
  <si>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</si>
  <si>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</si>
  <si>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</si>
  <si>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</si>
  <si>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</si>
  <si>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</si>
  <si>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</si>
  <si>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</si>
  <si>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</si>
  <si>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</si>
  <si>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</si>
  <si>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</si>
  <si>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</si>
  <si>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</si>
  <si>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</si>
  <si>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</si>
  <si>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</si>
  <si>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</si>
  <si>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</si>
  <si>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</si>
  <si>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</si>
  <si>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</si>
  <si>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</si>
  <si>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</si>
  <si>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</si>
  <si>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</si>
  <si>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</si>
  <si>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</si>
  <si>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</si>
  <si>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</si>
  <si>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</si>
  <si>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</si>
  <si>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</si>
  <si>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</si>
  <si>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</si>
  <si>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</si>
  <si>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</si>
  <si>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</si>
  <si>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</si>
  <si>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</si>
  <si>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</si>
  <si>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</si>
  <si>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</si>
  <si>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</si>
  <si>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</si>
  <si>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</si>
  <si>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</si>
  <si>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</si>
  <si>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</si>
  <si>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</si>
  <si>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</si>
  <si>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</si>
  <si>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</si>
  <si>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</si>
  <si>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</si>
  <si>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</si>
  <si>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</si>
  <si>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</si>
  <si>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</si>
  <si>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</si>
  <si>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</si>
  <si>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</si>
  <si>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</si>
  <si>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</si>
  <si>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</si>
  <si>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</si>
  <si>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</si>
  <si>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</si>
  <si>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</si>
  <si>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40B-10deg</t>
  </si>
  <si>
    <t>40B-20deg</t>
  </si>
  <si>
    <t>40B-30deg</t>
  </si>
  <si>
    <t>40B-45deg</t>
  </si>
  <si>
    <t>RESULTS - 2</t>
  </si>
  <si>
    <t>RESULTS - 3</t>
  </si>
  <si>
    <t>RESULTS - 4</t>
  </si>
  <si>
    <t>RESULTS - 5</t>
  </si>
  <si>
    <t>-</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</si>
  <si>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</si>
  <si>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</si>
  <si>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</si>
  <si>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</si>
  <si>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</si>
  <si>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</si>
  <si>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</si>
  <si>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</si>
  <si>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</si>
  <si>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</si>
  <si>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</si>
  <si>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Fixtures / Pole</t>
  </si>
  <si>
    <t>Separation Angle (degrees)</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</si>
  <si>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</si>
  <si>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</si>
  <si>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</si>
  <si>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</si>
  <si>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</si>
  <si>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</si>
  <si>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</si>
  <si>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</si>
  <si>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</si>
  <si>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</si>
  <si>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</si>
  <si>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</si>
  <si>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</si>
  <si>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</si>
  <si>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</si>
  <si>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MResults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</si>
</sst>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6">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22" fillId="27" borderId="12" xfId="0" applyFont="1" applyFill="1" applyBorder="1" applyAlignment="1" applyProtection="1">
      <alignment horizontal="center" vertical="center" wrapText="1"/>
      <protection locked="0"/>
    </xf>
    <xf numFmtId="0" fontId="22" fillId="27" borderId="12" xfId="0" applyFont="1" applyFill="1" applyBorder="1" applyAlignment="1" applyProtection="1">
      <alignment wrapText="1"/>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61">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311183496"/>
        <c:axId val="465098096"/>
      </c:scatterChart>
      <c:valAx>
        <c:axId val="311183496"/>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5098096"/>
        <c:crosses val="autoZero"/>
        <c:crossBetween val="midCat"/>
      </c:valAx>
      <c:valAx>
        <c:axId val="465098096"/>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1118349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98906016"/>
        <c:axId val="98904056"/>
      </c:scatterChart>
      <c:valAx>
        <c:axId val="9890601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98904056"/>
        <c:crosses val="autoZero"/>
        <c:crossBetween val="midCat"/>
      </c:valAx>
      <c:valAx>
        <c:axId val="98904056"/>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9890601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62072008"/>
        <c:axId val="462072400"/>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Luminance!$F$4:$F$13</c:f>
              <c:numCache>
                <c:formatCode>0.00</c:formatCode>
                <c:ptCount val="10"/>
                <c:pt idx="0">
                  <c:v>0.32741096559842942</c:v>
                </c:pt>
                <c:pt idx="1">
                  <c:v>1.0243804180818261</c:v>
                </c:pt>
                <c:pt idx="2">
                  <c:v>0.96318424721276996</c:v>
                </c:pt>
                <c:pt idx="3">
                  <c:v>0.83923708087311732</c:v>
                </c:pt>
                <c:pt idx="4">
                  <c:v>0.67300469032282573</c:v>
                </c:pt>
                <c:pt idx="5">
                  <c:v>0.44681078035770772</c:v>
                </c:pt>
              </c:numCache>
            </c:numRef>
          </c:val>
        </c:ser>
        <c:dLbls>
          <c:showLegendKey val="0"/>
          <c:showVal val="0"/>
          <c:showCatName val="0"/>
          <c:showSerName val="0"/>
          <c:showPercent val="0"/>
          <c:showBubbleSize val="0"/>
        </c:dLbls>
        <c:gapWidth val="211"/>
        <c:axId val="462083768"/>
        <c:axId val="462084552"/>
      </c:barChart>
      <c:catAx>
        <c:axId val="4620720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62072400"/>
        <c:crosses val="autoZero"/>
        <c:auto val="1"/>
        <c:lblAlgn val="ctr"/>
        <c:lblOffset val="100"/>
        <c:noMultiLvlLbl val="0"/>
      </c:catAx>
      <c:valAx>
        <c:axId val="46207240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2072008"/>
        <c:crosses val="autoZero"/>
        <c:crossBetween val="between"/>
      </c:valAx>
      <c:catAx>
        <c:axId val="462083768"/>
        <c:scaling>
          <c:orientation val="minMax"/>
        </c:scaling>
        <c:delete val="1"/>
        <c:axPos val="b"/>
        <c:numFmt formatCode="General" sourceLinked="1"/>
        <c:majorTickMark val="out"/>
        <c:minorTickMark val="none"/>
        <c:tickLblPos val="nextTo"/>
        <c:crossAx val="462084552"/>
        <c:crosses val="autoZero"/>
        <c:auto val="1"/>
        <c:lblAlgn val="ctr"/>
        <c:lblOffset val="100"/>
        <c:noMultiLvlLbl val="0"/>
      </c:catAx>
      <c:valAx>
        <c:axId val="462084552"/>
        <c:scaling>
          <c:orientation val="minMax"/>
        </c:scaling>
        <c:delete val="1"/>
        <c:axPos val="r"/>
        <c:numFmt formatCode="0.00" sourceLinked="1"/>
        <c:majorTickMark val="out"/>
        <c:minorTickMark val="none"/>
        <c:tickLblPos val="nextTo"/>
        <c:crossAx val="462083768"/>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3"/>
          <c:order val="3"/>
          <c:tx>
            <c:strRef>
              <c:f>'Net Present Value'!$C$7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4"/>
          <c:order val="4"/>
          <c:tx>
            <c:strRef>
              <c:f>'Net Present Value'!$C$8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5"/>
          <c:order val="5"/>
          <c:tx>
            <c:strRef>
              <c:f>'Net Present Value'!$C$9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62082592"/>
        <c:axId val="462084944"/>
      </c:lineChart>
      <c:catAx>
        <c:axId val="4620825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2084944"/>
        <c:crosses val="autoZero"/>
        <c:auto val="1"/>
        <c:lblAlgn val="ctr"/>
        <c:lblOffset val="100"/>
        <c:noMultiLvlLbl val="0"/>
      </c:catAx>
      <c:valAx>
        <c:axId val="46208494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208259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4.3250632009644985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91</c:v>
                </c:pt>
                <c:pt idx="2">
                  <c:v>91</c:v>
                </c:pt>
                <c:pt idx="3">
                  <c:v>91</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13.341418830469525</c:v>
                </c:pt>
                <c:pt idx="1">
                  <c:v>12.987963135087163</c:v>
                </c:pt>
                <c:pt idx="2">
                  <c:v>11.602414100488641</c:v>
                </c:pt>
                <c:pt idx="3">
                  <c:v>9.5155561831243993</c:v>
                </c:pt>
                <c:pt idx="4">
                  <c:v>6.9510983701499311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113467720"/>
        <c:axId val="113469288"/>
      </c:scatterChart>
      <c:valAx>
        <c:axId val="11346772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69288"/>
        <c:crosses val="autoZero"/>
        <c:crossBetween val="midCat"/>
      </c:valAx>
      <c:valAx>
        <c:axId val="11346928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6772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0.32741096559842942</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91</c:v>
                </c:pt>
                <c:pt idx="2">
                  <c:v>91</c:v>
                </c:pt>
                <c:pt idx="3">
                  <c:v>91</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1.0243804180818261</c:v>
                </c:pt>
                <c:pt idx="1">
                  <c:v>0.96318424721276996</c:v>
                </c:pt>
                <c:pt idx="2">
                  <c:v>0.83923708087311732</c:v>
                </c:pt>
                <c:pt idx="3">
                  <c:v>0.67300469032282573</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0.44681078035770772</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113470464"/>
        <c:axId val="113459488"/>
      </c:scatterChart>
      <c:valAx>
        <c:axId val="11347046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59488"/>
        <c:crosses val="autoZero"/>
        <c:crossBetween val="midCat"/>
      </c:valAx>
      <c:valAx>
        <c:axId val="11345948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7046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Illuminance!$I$4:$I$13</c:f>
              <c:numCache>
                <c:formatCode>0.00</c:formatCode>
                <c:ptCount val="10"/>
                <c:pt idx="0">
                  <c:v>0.65512624947777776</c:v>
                </c:pt>
                <c:pt idx="1">
                  <c:v>0.61112798836552851</c:v>
                </c:pt>
                <c:pt idx="2">
                  <c:v>0.60435564425960364</c:v>
                </c:pt>
                <c:pt idx="3">
                  <c:v>0.57689206002610249</c:v>
                </c:pt>
                <c:pt idx="4">
                  <c:v>0.50472521488830113</c:v>
                </c:pt>
                <c:pt idx="5">
                  <c:v>0.509526480134048</c:v>
                </c:pt>
              </c:numCache>
            </c:numRef>
          </c:val>
        </c:ser>
        <c:dLbls>
          <c:showLegendKey val="0"/>
          <c:showVal val="0"/>
          <c:showCatName val="0"/>
          <c:showSerName val="0"/>
          <c:showPercent val="0"/>
          <c:showBubbleSize val="0"/>
        </c:dLbls>
        <c:gapWidth val="150"/>
        <c:axId val="113455960"/>
        <c:axId val="113461448"/>
      </c:barChart>
      <c:catAx>
        <c:axId val="1134559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113461448"/>
        <c:crosses val="autoZero"/>
        <c:auto val="1"/>
        <c:lblAlgn val="ctr"/>
        <c:lblOffset val="100"/>
        <c:noMultiLvlLbl val="0"/>
      </c:catAx>
      <c:valAx>
        <c:axId val="113461448"/>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5596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Luminance!$I$4:$I$13</c:f>
              <c:numCache>
                <c:formatCode>0.00</c:formatCode>
                <c:ptCount val="10"/>
                <c:pt idx="0">
                  <c:v>0.54170697621989183</c:v>
                </c:pt>
                <c:pt idx="1">
                  <c:v>0.54794008459543142</c:v>
                </c:pt>
                <c:pt idx="2">
                  <c:v>0.55699628420863168</c:v>
                </c:pt>
                <c:pt idx="3">
                  <c:v>0.4670682432587086</c:v>
                </c:pt>
                <c:pt idx="4">
                  <c:v>0.40500753078768897</c:v>
                </c:pt>
                <c:pt idx="5">
                  <c:v>0.4462326269142734</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Luminance!$J$4:$J$13</c:f>
              <c:numCache>
                <c:formatCode>0.00</c:formatCode>
                <c:ptCount val="10"/>
                <c:pt idx="0">
                  <c:v>0.70764352208218684</c:v>
                </c:pt>
                <c:pt idx="1">
                  <c:v>0.8484322542576278</c:v>
                </c:pt>
                <c:pt idx="2">
                  <c:v>0.88657757557143346</c:v>
                </c:pt>
                <c:pt idx="3">
                  <c:v>0.91408539817118784</c:v>
                </c:pt>
                <c:pt idx="4">
                  <c:v>0.8256714424415581</c:v>
                </c:pt>
                <c:pt idx="5">
                  <c:v>0.81836447421022107</c:v>
                </c:pt>
              </c:numCache>
            </c:numRef>
          </c:val>
        </c:ser>
        <c:dLbls>
          <c:showLegendKey val="0"/>
          <c:showVal val="0"/>
          <c:showCatName val="0"/>
          <c:showSerName val="0"/>
          <c:showPercent val="0"/>
          <c:showBubbleSize val="0"/>
        </c:dLbls>
        <c:gapWidth val="150"/>
        <c:axId val="113468112"/>
        <c:axId val="113457920"/>
      </c:barChart>
      <c:catAx>
        <c:axId val="11346811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113457920"/>
        <c:crosses val="autoZero"/>
        <c:auto val="1"/>
        <c:lblAlgn val="ctr"/>
        <c:lblOffset val="100"/>
        <c:noMultiLvlLbl val="0"/>
      </c:catAx>
      <c:valAx>
        <c:axId val="113457920"/>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6811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113460272"/>
        <c:axId val="113457136"/>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Illuminance!$F$4:$F$13</c:f>
              <c:numCache>
                <c:formatCode>0.00</c:formatCode>
                <c:ptCount val="10"/>
                <c:pt idx="0">
                  <c:v>4.3250632009644985</c:v>
                </c:pt>
                <c:pt idx="1">
                  <c:v>13.341418830469525</c:v>
                </c:pt>
                <c:pt idx="2">
                  <c:v>12.987963135087163</c:v>
                </c:pt>
                <c:pt idx="3">
                  <c:v>11.602414100488641</c:v>
                </c:pt>
                <c:pt idx="4">
                  <c:v>9.5155561831243993</c:v>
                </c:pt>
                <c:pt idx="5">
                  <c:v>6.9510983701499311</c:v>
                </c:pt>
              </c:numCache>
            </c:numRef>
          </c:val>
        </c:ser>
        <c:dLbls>
          <c:showLegendKey val="0"/>
          <c:showVal val="0"/>
          <c:showCatName val="0"/>
          <c:showSerName val="0"/>
          <c:showPercent val="0"/>
          <c:showBubbleSize val="0"/>
        </c:dLbls>
        <c:gapWidth val="208"/>
        <c:axId val="113455176"/>
        <c:axId val="113462624"/>
      </c:barChart>
      <c:catAx>
        <c:axId val="11346027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113457136"/>
        <c:crosses val="autoZero"/>
        <c:auto val="0"/>
        <c:lblAlgn val="ctr"/>
        <c:lblOffset val="100"/>
        <c:noMultiLvlLbl val="0"/>
      </c:catAx>
      <c:valAx>
        <c:axId val="113457136"/>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60272"/>
        <c:crosses val="autoZero"/>
        <c:crossBetween val="between"/>
      </c:valAx>
      <c:catAx>
        <c:axId val="113455176"/>
        <c:scaling>
          <c:orientation val="minMax"/>
        </c:scaling>
        <c:delete val="1"/>
        <c:axPos val="b"/>
        <c:numFmt formatCode="General" sourceLinked="1"/>
        <c:majorTickMark val="out"/>
        <c:minorTickMark val="none"/>
        <c:tickLblPos val="nextTo"/>
        <c:crossAx val="113462624"/>
        <c:crosses val="autoZero"/>
        <c:auto val="1"/>
        <c:lblAlgn val="ctr"/>
        <c:lblOffset val="100"/>
        <c:noMultiLvlLbl val="0"/>
      </c:catAx>
      <c:valAx>
        <c:axId val="113462624"/>
        <c:scaling>
          <c:orientation val="minMax"/>
        </c:scaling>
        <c:delete val="1"/>
        <c:axPos val="r"/>
        <c:numFmt formatCode="0.00" sourceLinked="1"/>
        <c:majorTickMark val="out"/>
        <c:minorTickMark val="none"/>
        <c:tickLblPos val="nextTo"/>
        <c:crossAx val="113455176"/>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113457528"/>
        <c:axId val="113463800"/>
      </c:lineChart>
      <c:catAx>
        <c:axId val="1134575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63800"/>
        <c:crosses val="autoZero"/>
        <c:auto val="1"/>
        <c:lblAlgn val="ctr"/>
        <c:lblOffset val="100"/>
        <c:noMultiLvlLbl val="0"/>
      </c:catAx>
      <c:valAx>
        <c:axId val="11346380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3457528"/>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2" val="34"/>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48678" y="1126191"/>
          <a:ext cx="6808134"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5046" y="1526241"/>
          <a:ext cx="8455398"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AA19" sqref="AA19"/>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7" t="s">
        <v>362</v>
      </c>
      <c r="C5" s="718"/>
      <c r="D5" s="719"/>
      <c r="E5" s="720" t="s">
        <v>343</v>
      </c>
      <c r="F5" s="721"/>
      <c r="G5" s="722"/>
    </row>
    <row r="8" spans="1:18">
      <c r="B8" s="723" t="str">
        <f>Translation!B285</f>
        <v>SEAD Procurement Tool for Energy Efficient Street Lighting</v>
      </c>
      <c r="C8" s="724"/>
      <c r="D8" s="724"/>
      <c r="E8" s="724"/>
      <c r="F8" s="724"/>
      <c r="G8" s="724"/>
      <c r="H8" s="724"/>
      <c r="I8" s="724"/>
      <c r="J8" s="724"/>
      <c r="K8" s="724"/>
      <c r="L8" s="724"/>
      <c r="M8" s="724"/>
      <c r="N8" s="725"/>
    </row>
    <row r="9" spans="1:18" ht="72.75" customHeight="1">
      <c r="B9" s="726"/>
      <c r="C9" s="727"/>
      <c r="D9" s="727"/>
      <c r="E9" s="727"/>
      <c r="F9" s="727"/>
      <c r="G9" s="727"/>
      <c r="H9" s="727"/>
      <c r="I9" s="727"/>
      <c r="J9" s="727"/>
      <c r="K9" s="727"/>
      <c r="L9" s="727"/>
      <c r="M9" s="727"/>
      <c r="N9" s="728"/>
      <c r="R9" s="129" t="s">
        <v>1046</v>
      </c>
    </row>
    <row r="10" spans="1:18" ht="35.25" hidden="1" customHeight="1">
      <c r="B10" s="726" t="str">
        <f>Translation!B286</f>
        <v>Before you get started, please take some time to read the instructions located on the navigation worksheet .</v>
      </c>
      <c r="C10" s="727"/>
      <c r="D10" s="727"/>
      <c r="E10" s="727"/>
      <c r="F10" s="727"/>
      <c r="G10" s="727"/>
      <c r="H10" s="727"/>
      <c r="I10" s="727"/>
      <c r="J10" s="727"/>
      <c r="K10" s="727"/>
      <c r="L10" s="727"/>
      <c r="M10" s="727"/>
      <c r="N10" s="728"/>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4" t="str">
        <f>Translation!B315</f>
        <v>This tool and accompanying street lighting technology profile are available at www.superefficient.org</v>
      </c>
      <c r="C26" s="715"/>
      <c r="D26" s="715"/>
      <c r="E26" s="715"/>
      <c r="F26" s="715"/>
      <c r="G26" s="715"/>
      <c r="H26" s="715"/>
      <c r="I26" s="715"/>
      <c r="J26" s="715"/>
      <c r="K26" s="715"/>
      <c r="L26" s="715"/>
      <c r="M26" s="715"/>
      <c r="N26" s="716"/>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31"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31"/>
      <c r="F8" s="731"/>
      <c r="G8" s="731"/>
      <c r="H8" s="731"/>
      <c r="I8" s="731"/>
      <c r="J8" s="731"/>
      <c r="K8" s="731"/>
      <c r="L8" s="731"/>
      <c r="M8" s="731"/>
      <c r="N8" s="731"/>
      <c r="O8" s="731"/>
    </row>
    <row r="9" spans="2:24" ht="36.75" customHeight="1">
      <c r="E9" s="734" t="str">
        <f>Translation!B31</f>
        <v>- The tool is designed to be simple to use, requiring little prior knowledge. Follow the steps, and look out for popup boxes and "?" links for additional information</v>
      </c>
      <c r="F9" s="734"/>
      <c r="G9" s="734"/>
      <c r="H9" s="734"/>
      <c r="I9" s="734"/>
      <c r="J9" s="734"/>
      <c r="K9" s="734"/>
      <c r="L9" s="734"/>
      <c r="M9" s="734"/>
      <c r="N9" s="734"/>
      <c r="O9" s="734"/>
    </row>
    <row r="10" spans="2:24" ht="57" customHeight="1">
      <c r="E10" s="734"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4"/>
      <c r="G10" s="734"/>
      <c r="H10" s="734"/>
      <c r="I10" s="734"/>
      <c r="J10" s="734"/>
      <c r="K10" s="734"/>
      <c r="L10" s="734"/>
      <c r="M10" s="734"/>
      <c r="N10" s="734"/>
      <c r="O10" s="734"/>
    </row>
    <row r="11" spans="2:24" ht="94.5" customHeight="1">
      <c r="E11" s="734"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4"/>
      <c r="G11" s="734"/>
      <c r="H11" s="734"/>
      <c r="I11" s="734"/>
      <c r="J11" s="734"/>
      <c r="K11" s="734"/>
      <c r="L11" s="734"/>
      <c r="M11" s="734"/>
      <c r="N11" s="734"/>
      <c r="O11" s="734"/>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31" t="str">
        <f>Translation!B72</f>
        <v>The inputs tab gives you access to all required inputs, as well as navigation to all the other tabs relevant to the user. Start here, and if you get lost come back here and find the appropriate step.</v>
      </c>
      <c r="E18" s="731"/>
      <c r="F18" s="731"/>
      <c r="G18" s="731"/>
      <c r="H18" s="731"/>
      <c r="I18" s="731"/>
      <c r="J18" s="731"/>
      <c r="K18" s="731"/>
      <c r="L18" s="731"/>
      <c r="M18" s="731"/>
      <c r="N18" s="731"/>
      <c r="O18" s="731"/>
    </row>
    <row r="19" spans="4:15">
      <c r="D19" s="74" t="str">
        <f>Translation!B48</f>
        <v xml:space="preserve">For a description of the other tabs and what they contain go here: </v>
      </c>
    </row>
    <row r="20" spans="4:15">
      <c r="D20" s="74"/>
    </row>
    <row r="21" spans="4:15">
      <c r="D21" s="732" t="str">
        <f>Translation!B70</f>
        <v>Tab Descriptions</v>
      </c>
      <c r="E21" s="733"/>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5" t="str">
        <f>Translation!B28</f>
        <v>Single Fixture</v>
      </c>
      <c r="E34" s="736"/>
    </row>
    <row r="35" spans="3:22" ht="15" customHeight="1">
      <c r="D35" s="735" t="str">
        <f>Translation!B61</f>
        <v>Retrofit - basic</v>
      </c>
      <c r="E35" s="736"/>
    </row>
    <row r="36" spans="3:22" ht="15" customHeight="1">
      <c r="D36" s="735" t="str">
        <f>Translation!B63</f>
        <v>Retrofit - detailed</v>
      </c>
      <c r="E36" s="736"/>
    </row>
    <row r="37" spans="3:22" ht="15" customHeight="1">
      <c r="D37" s="735" t="str">
        <f>Translation!B57</f>
        <v>New installation</v>
      </c>
      <c r="E37" s="736"/>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30" t="str">
        <f>Translation!B59</f>
        <v>Not all tabs are needed by the user, but all tabs are left open so that you can see how calculations are performed if needed. Here's a description of all the tabs in the tool:</v>
      </c>
      <c r="D55" s="730"/>
      <c r="E55" s="730"/>
      <c r="F55" s="730"/>
      <c r="G55" s="730"/>
      <c r="H55" s="730"/>
      <c r="I55" s="730"/>
      <c r="J55" s="730"/>
      <c r="K55" s="730"/>
      <c r="L55" s="730"/>
      <c r="M55" s="730"/>
      <c r="N55" s="730"/>
      <c r="O55" s="730"/>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9"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9"/>
      <c r="E73" s="729"/>
      <c r="F73" s="729"/>
      <c r="G73" s="729"/>
      <c r="H73" s="729"/>
      <c r="I73" s="729"/>
      <c r="J73" s="729"/>
      <c r="K73" s="729"/>
      <c r="L73" s="729"/>
      <c r="M73" s="729"/>
      <c r="N73" s="729"/>
      <c r="O73" s="729"/>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9"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9"/>
      <c r="E77" s="729"/>
      <c r="F77" s="729"/>
      <c r="G77" s="729"/>
      <c r="H77" s="729"/>
      <c r="I77" s="729"/>
      <c r="J77" s="729"/>
      <c r="K77" s="729"/>
      <c r="L77" s="729"/>
      <c r="M77" s="729"/>
      <c r="N77" s="729"/>
      <c r="O77" s="729"/>
    </row>
    <row r="78" spans="3:22" ht="15" customHeight="1">
      <c r="C78" s="96" t="s">
        <v>224</v>
      </c>
      <c r="D78" s="729" t="str">
        <f>Translation!B45</f>
        <v xml:space="preserve">Follow steps 1-5 on the inputs page to define your current configuration, desired target light levels, and relevant costs </v>
      </c>
      <c r="E78" s="729"/>
      <c r="F78" s="729"/>
      <c r="G78" s="729"/>
      <c r="H78" s="729"/>
      <c r="I78" s="729"/>
      <c r="J78" s="729"/>
      <c r="K78" s="729"/>
      <c r="L78" s="729"/>
      <c r="M78" s="729"/>
      <c r="N78" s="729"/>
      <c r="O78" s="729"/>
    </row>
    <row r="79" spans="3:22" ht="15" customHeight="1">
      <c r="C79" s="96" t="s">
        <v>225</v>
      </c>
      <c r="D79" s="729" t="str">
        <f>Translation!B81</f>
        <v xml:space="preserve">When choosing the upgrade fixture in Step 3, choose 'Multiple Fixtures' option and select some or all of the generic typical fixtures </v>
      </c>
      <c r="E79" s="729"/>
      <c r="F79" s="729"/>
      <c r="G79" s="729"/>
      <c r="H79" s="729"/>
      <c r="I79" s="729"/>
      <c r="J79" s="729"/>
      <c r="K79" s="729"/>
      <c r="L79" s="729"/>
      <c r="M79" s="729"/>
      <c r="N79" s="729"/>
      <c r="O79" s="729"/>
    </row>
    <row r="80" spans="3:22" ht="15" customHeight="1">
      <c r="C80" s="96" t="s">
        <v>226</v>
      </c>
      <c r="D80" s="729" t="str">
        <f>Translation!B73</f>
        <v xml:space="preserve">The MGraphs page will show you which fixtures pass and fail your illuminance criteria for the given road geometry, ranked in order of lowest to highest energy consumption. </v>
      </c>
      <c r="E80" s="729"/>
      <c r="F80" s="729"/>
      <c r="G80" s="729"/>
      <c r="H80" s="729"/>
      <c r="I80" s="729"/>
      <c r="J80" s="729"/>
      <c r="K80" s="729"/>
      <c r="L80" s="729"/>
      <c r="M80" s="729"/>
      <c r="N80" s="729"/>
      <c r="O80" s="729"/>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9"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9"/>
      <c r="E86" s="729"/>
      <c r="F86" s="729"/>
      <c r="G86" s="729"/>
      <c r="H86" s="729"/>
      <c r="I86" s="729"/>
      <c r="J86" s="729"/>
      <c r="K86" s="729"/>
      <c r="L86" s="729"/>
      <c r="M86" s="729"/>
      <c r="N86" s="729"/>
      <c r="O86" s="729"/>
      <c r="P86" s="96"/>
      <c r="Q86" s="96"/>
      <c r="R86" s="96"/>
      <c r="S86" s="96"/>
      <c r="T86" s="96"/>
      <c r="U86" s="96"/>
      <c r="V86" s="96"/>
    </row>
    <row r="87" spans="3:22" ht="15" customHeight="1">
      <c r="C87" s="96" t="s">
        <v>224</v>
      </c>
      <c r="D87" s="729" t="str">
        <f>Translation!B41</f>
        <v xml:space="preserve">Contact the manufacturer or visit their website to download the electronic IES files for the fixtures you're considering </v>
      </c>
      <c r="E87" s="729"/>
      <c r="F87" s="729"/>
      <c r="G87" s="729"/>
      <c r="H87" s="729"/>
      <c r="I87" s="729"/>
      <c r="J87" s="729"/>
      <c r="K87" s="729"/>
      <c r="L87" s="729"/>
      <c r="M87" s="729"/>
      <c r="N87" s="729"/>
      <c r="O87" s="729"/>
      <c r="P87" s="96"/>
      <c r="Q87" s="96"/>
      <c r="R87" s="96"/>
      <c r="S87" s="96"/>
      <c r="T87" s="96"/>
      <c r="U87" s="96"/>
      <c r="V87" s="96"/>
    </row>
    <row r="88" spans="3:22" ht="15" customHeight="1">
      <c r="C88" s="96" t="s">
        <v>225</v>
      </c>
      <c r="D88" s="729" t="str">
        <f>Translation!B79</f>
        <v xml:space="preserve">Use the Add IES file button in step 3 to add this data to the tool. Be sure to check default values for fixture life, cost, and lumen depreciation in the Fixtures tab and make sure they are appropriate for your fixture </v>
      </c>
      <c r="E88" s="729"/>
      <c r="F88" s="729"/>
      <c r="G88" s="729"/>
      <c r="H88" s="729"/>
      <c r="I88" s="729"/>
      <c r="J88" s="729"/>
      <c r="K88" s="729"/>
      <c r="L88" s="729"/>
      <c r="M88" s="729"/>
      <c r="N88" s="729"/>
      <c r="O88" s="729"/>
    </row>
    <row r="89" spans="3:22" ht="15" customHeight="1">
      <c r="C89" s="96" t="s">
        <v>226</v>
      </c>
      <c r="D89" s="729" t="str">
        <f>Translation!B46</f>
        <v xml:space="preserve">Follow steps 1-5 to define your road configuration, desired target light levels, and relavant costs </v>
      </c>
      <c r="E89" s="729"/>
      <c r="F89" s="729"/>
      <c r="G89" s="729"/>
      <c r="H89" s="729"/>
      <c r="I89" s="729"/>
      <c r="J89" s="729"/>
      <c r="K89" s="729"/>
      <c r="L89" s="729"/>
      <c r="M89" s="729"/>
      <c r="N89" s="729"/>
      <c r="O89" s="729"/>
    </row>
    <row r="90" spans="3:22" ht="32.25" customHeight="1">
      <c r="C90" s="96" t="s">
        <v>227</v>
      </c>
      <c r="D90" s="729" t="str">
        <f>Translation!B81</f>
        <v xml:space="preserve">When choosing the upgrade fixture in Step 3, choose 'Multiple Fixtures' option and select some or all of the generic typical fixtures </v>
      </c>
      <c r="E90" s="729"/>
      <c r="F90" s="729"/>
      <c r="G90" s="729"/>
      <c r="H90" s="729"/>
      <c r="I90" s="729"/>
      <c r="J90" s="729"/>
      <c r="K90" s="729"/>
      <c r="L90" s="729"/>
      <c r="M90" s="729"/>
      <c r="N90" s="729"/>
      <c r="O90" s="729"/>
    </row>
    <row r="91" spans="3:22" ht="15" customHeight="1">
      <c r="C91" s="96" t="s">
        <v>228</v>
      </c>
      <c r="D91" s="729" t="str">
        <f>Translation!B73</f>
        <v xml:space="preserve">The MGraphs page will show you which fixtures pass and fail your illuminance criteria for the given road geometry, ranked in order of lowest to highest energy consumption. </v>
      </c>
      <c r="E91" s="729"/>
      <c r="F91" s="729"/>
      <c r="G91" s="729"/>
      <c r="H91" s="729"/>
      <c r="I91" s="729"/>
      <c r="J91" s="729"/>
      <c r="K91" s="729"/>
      <c r="L91" s="729"/>
      <c r="M91" s="729"/>
      <c r="N91" s="729"/>
      <c r="O91" s="729"/>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9"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9"/>
      <c r="E96" s="729"/>
      <c r="F96" s="729"/>
      <c r="G96" s="729"/>
      <c r="H96" s="729"/>
      <c r="I96" s="729"/>
      <c r="J96" s="729"/>
      <c r="K96" s="729"/>
      <c r="L96" s="729"/>
      <c r="M96" s="729"/>
      <c r="N96" s="729"/>
      <c r="O96" s="729"/>
    </row>
    <row r="97" spans="3:15" ht="15" customHeight="1">
      <c r="C97" s="96" t="s">
        <v>224</v>
      </c>
      <c r="D97" s="729" t="str">
        <f>Translation!B47</f>
        <v xml:space="preserve">Follow steps 1-5, choosing the appropriate comparison type of single fixture or multiple fixtures in step 3 </v>
      </c>
      <c r="E97" s="729"/>
      <c r="F97" s="729"/>
      <c r="G97" s="729"/>
      <c r="H97" s="729"/>
      <c r="I97" s="729"/>
      <c r="J97" s="729"/>
      <c r="K97" s="729"/>
      <c r="L97" s="729"/>
      <c r="M97" s="729"/>
      <c r="N97" s="729"/>
      <c r="O97" s="729"/>
    </row>
    <row r="98" spans="3:15" ht="15" customHeight="1">
      <c r="C98" s="96" t="s">
        <v>225</v>
      </c>
      <c r="D98" s="729" t="str">
        <f>Translation!B71</f>
        <v xml:space="preserve">The 'baseline' scenario can be ignored, or you can use the 'No fixture' fixture choice to set energy consumption of the baseline shown in the graphs to zero </v>
      </c>
      <c r="E98" s="729"/>
      <c r="F98" s="729"/>
      <c r="G98" s="729"/>
      <c r="H98" s="729"/>
      <c r="I98" s="729"/>
      <c r="J98" s="729"/>
      <c r="K98" s="729"/>
      <c r="L98" s="729"/>
      <c r="M98" s="729"/>
      <c r="N98" s="729"/>
      <c r="O98" s="729"/>
    </row>
    <row r="99" spans="3:15" ht="15" customHeight="1">
      <c r="C99" s="96" t="s">
        <v>226</v>
      </c>
      <c r="D99" s="729" t="str">
        <f>Translation!B50</f>
        <v xml:space="preserve">If only analyzing a single fixture, use the "Save Single Upgrade" button to save the scenario to the MResults tab. If analyzing multiple fixtures, the fixtures will be saved when you click 'Run Selected Fixtures' </v>
      </c>
      <c r="E99" s="729"/>
      <c r="F99" s="729"/>
      <c r="G99" s="729"/>
      <c r="H99" s="729"/>
      <c r="I99" s="729"/>
      <c r="J99" s="729"/>
      <c r="K99" s="729"/>
      <c r="L99" s="729"/>
      <c r="M99" s="729"/>
      <c r="N99" s="729"/>
      <c r="O99" s="729"/>
    </row>
    <row r="100" spans="3:15" ht="15" customHeight="1">
      <c r="C100" s="96" t="s">
        <v>227</v>
      </c>
      <c r="D100" s="729" t="str">
        <f>Translation!B76</f>
        <v xml:space="preserve">To compare additional scenarios , after saving the results you may change the inputs for the other steps and save the new results </v>
      </c>
      <c r="E100" s="729"/>
      <c r="F100" s="729"/>
      <c r="G100" s="729"/>
      <c r="H100" s="729"/>
      <c r="I100" s="729"/>
      <c r="J100" s="729"/>
      <c r="K100" s="729"/>
      <c r="L100" s="729"/>
      <c r="M100" s="729"/>
      <c r="N100" s="729"/>
      <c r="O100" s="729"/>
    </row>
    <row r="101" spans="3:15" ht="15" customHeight="1">
      <c r="C101" s="96" t="s">
        <v>228</v>
      </c>
      <c r="D101" s="729" t="str">
        <f>Translation!B37</f>
        <v xml:space="preserve">All results will be archived to the MResults tab, and show up in MGraphs.  </v>
      </c>
      <c r="E101" s="729"/>
      <c r="F101" s="729"/>
      <c r="G101" s="729"/>
      <c r="H101" s="729"/>
      <c r="I101" s="729"/>
      <c r="J101" s="729"/>
      <c r="K101" s="729"/>
      <c r="L101" s="729"/>
      <c r="M101" s="729"/>
      <c r="N101" s="729"/>
      <c r="O101" s="729"/>
    </row>
    <row r="102" spans="3:15" ht="15" customHeight="1">
      <c r="C102" s="96" t="s">
        <v>229</v>
      </c>
      <c r="D102" s="729"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9"/>
      <c r="F102" s="729"/>
      <c r="G102" s="729"/>
      <c r="H102" s="729"/>
      <c r="I102" s="729"/>
      <c r="J102" s="729"/>
      <c r="K102" s="729"/>
      <c r="L102" s="729"/>
      <c r="M102" s="729"/>
      <c r="N102" s="729"/>
      <c r="O102" s="729"/>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abSelected="1" zoomScaleNormal="100" zoomScaleSheetLayoutView="100" workbookViewId="0">
      <selection activeCell="A11" sqref="A11"/>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7" t="str">
        <f>Translation!B559</f>
        <v>Road geometry inputs describe the size and shape of the road section, as well as the placement and size of poles. Enter values for both baseline and upgrade. If you are replacing fixtures only, enter the same values in both columns.</v>
      </c>
      <c r="C5" s="737"/>
      <c r="D5" s="737"/>
      <c r="E5" s="737"/>
      <c r="F5" s="737"/>
      <c r="G5" s="225"/>
      <c r="H5" s="225"/>
      <c r="I5" s="225"/>
      <c r="J5" s="225"/>
      <c r="K5" s="225"/>
      <c r="L5" s="225"/>
      <c r="M5" s="225"/>
      <c r="N5" s="349"/>
      <c r="O5" s="349"/>
      <c r="P5" s="349"/>
      <c r="Q5" s="349"/>
      <c r="R5" s="349"/>
      <c r="S5" s="349"/>
      <c r="T5" s="349"/>
      <c r="U5" s="349"/>
      <c r="V5" s="349"/>
    </row>
    <row r="6" spans="1:28" ht="18.75" customHeight="1">
      <c r="A6" s="225"/>
      <c r="B6" s="737"/>
      <c r="C6" s="737"/>
      <c r="D6" s="737"/>
      <c r="E6" s="737"/>
      <c r="F6" s="737"/>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7"/>
      <c r="S9" s="737"/>
      <c r="T9" s="737"/>
      <c r="U9" s="737"/>
      <c r="V9" s="737"/>
      <c r="W9" t="s">
        <v>1779</v>
      </c>
    </row>
    <row r="10" spans="1:28">
      <c r="A10" s="225"/>
      <c r="B10" s="168" t="str">
        <f>Translation!B114</f>
        <v>Number of Lanes</v>
      </c>
      <c r="C10" s="36">
        <v>6</v>
      </c>
      <c r="D10" s="36">
        <v>6</v>
      </c>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2</v>
      </c>
      <c r="D12" s="36">
        <v>2</v>
      </c>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t="s">
        <v>1183</v>
      </c>
      <c r="D16" s="378" t="s">
        <v>1183</v>
      </c>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t="str">
        <f>$C$16</f>
        <v>Median mounted</v>
      </c>
      <c r="AB16" s="168" t="str">
        <f>$D$16</f>
        <v>Median mounted</v>
      </c>
    </row>
    <row r="17" spans="1:28">
      <c r="A17" s="225"/>
      <c r="B17" s="168" t="str">
        <f>Translation!B131</f>
        <v>Luminaire Mounting Height</v>
      </c>
      <c r="C17" s="36">
        <v>10</v>
      </c>
      <c r="D17" s="36">
        <v>10</v>
      </c>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str">
        <f>INDEX(FixtureArrangementEnglish,MATCH(AA$16,FixtureArrangement,0))</f>
        <v>Median mounted</v>
      </c>
      <c r="AB17" s="514" t="str">
        <f>INDEX(FixtureArrangementEnglish,MATCH(AB$16,FixtureArrangement,0))</f>
        <v>Median mounted</v>
      </c>
    </row>
    <row r="18" spans="1:28">
      <c r="A18" s="225"/>
      <c r="B18" s="168" t="str">
        <f>Translation!B264</f>
        <v>Pole Spacing</v>
      </c>
      <c r="C18" s="36">
        <v>35</v>
      </c>
      <c r="D18" s="36">
        <v>35</v>
      </c>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2</v>
      </c>
      <c r="D20" s="36">
        <v>2</v>
      </c>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205</v>
      </c>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60" priority="4" stopIfTrue="1">
      <formula>"&gt;5"</formula>
    </cfRule>
  </conditionalFormatting>
  <conditionalFormatting sqref="C50:C51">
    <cfRule type="expression" dxfId="59"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D14" sqref="D1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7"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7"/>
      <c r="E5" s="737"/>
      <c r="F5" s="737"/>
      <c r="G5" s="737"/>
      <c r="H5" s="737"/>
      <c r="N5" s="349"/>
      <c r="AA5" s="225" t="s">
        <v>1731</v>
      </c>
    </row>
    <row r="6" spans="1:27" s="225" customFormat="1" ht="90.75" customHeight="1">
      <c r="C6" s="737"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7"/>
      <c r="E6" s="737"/>
      <c r="F6" s="737"/>
      <c r="G6" s="737"/>
      <c r="H6" s="737"/>
      <c r="L6" s="650"/>
      <c r="N6" s="738"/>
      <c r="O6" s="738"/>
      <c r="P6" s="738"/>
      <c r="Q6" s="738"/>
      <c r="AA6" s="225" t="s">
        <v>1726</v>
      </c>
    </row>
    <row r="7" spans="1:27" s="225" customFormat="1" ht="54" customHeight="1">
      <c r="A7" s="225" t="s">
        <v>187</v>
      </c>
      <c r="C7" s="540" t="str">
        <f>Translation!B119</f>
        <v>Select Calculation Method</v>
      </c>
      <c r="D7" s="36" t="s">
        <v>1248</v>
      </c>
      <c r="E7" s="763" t="str">
        <f>Translation!B117</f>
        <v>Luminance and Illuminance calculations can be done based on either IES or CIE standard. The output file reflects the method chosen here.</v>
      </c>
      <c r="F7" s="764"/>
      <c r="G7" s="764"/>
      <c r="H7" s="764"/>
      <c r="I7" s="764"/>
    </row>
    <row r="8" spans="1:27" s="225" customFormat="1" ht="19.5" customHeight="1">
      <c r="A8" s="225" t="s">
        <v>187</v>
      </c>
      <c r="C8" s="909"/>
      <c r="D8" s="909"/>
      <c r="E8" s="909"/>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v>6</v>
      </c>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v>3</v>
      </c>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740"/>
      <c r="D22" s="740"/>
      <c r="E22" s="740"/>
    </row>
    <row r="23" spans="1:9" s="225" customFormat="1">
      <c r="A23" s="225" t="s">
        <v>187</v>
      </c>
      <c r="C23" s="739"/>
      <c r="D23" s="739"/>
      <c r="E23" s="739"/>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907" t="str">
        <f>Translation!B156</f>
        <v>Illumination Engineering Society of North America (IESNA)</v>
      </c>
      <c r="C37" s="908"/>
      <c r="D37" s="908"/>
      <c r="E37" s="908"/>
      <c r="F37" s="908"/>
      <c r="G37" s="908"/>
      <c r="H37" s="908"/>
      <c r="I37" s="908"/>
      <c r="J37" s="908"/>
      <c r="K37" s="908"/>
      <c r="L37" s="908"/>
      <c r="M37" s="908"/>
    </row>
    <row r="38" spans="1:13">
      <c r="A38" s="128" t="s">
        <v>186</v>
      </c>
    </row>
    <row r="39" spans="1:13" ht="15" customHeight="1">
      <c r="A39" s="128" t="s">
        <v>186</v>
      </c>
      <c r="C39" s="741"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42"/>
      <c r="E39" s="742"/>
      <c r="F39" s="742"/>
      <c r="G39" s="742"/>
      <c r="H39" s="742"/>
      <c r="I39" s="742"/>
      <c r="J39" s="742"/>
      <c r="K39" s="742"/>
      <c r="L39" s="742"/>
      <c r="M39" s="743"/>
    </row>
    <row r="40" spans="1:13">
      <c r="A40" s="128" t="s">
        <v>186</v>
      </c>
      <c r="C40" s="744"/>
      <c r="D40" s="745"/>
      <c r="E40" s="745"/>
      <c r="F40" s="745"/>
      <c r="G40" s="745"/>
      <c r="H40" s="745"/>
      <c r="I40" s="745"/>
      <c r="J40" s="745"/>
      <c r="K40" s="745"/>
      <c r="L40" s="745"/>
      <c r="M40" s="746"/>
    </row>
    <row r="41" spans="1:13">
      <c r="A41" s="128" t="s">
        <v>186</v>
      </c>
      <c r="C41" s="744"/>
      <c r="D41" s="745"/>
      <c r="E41" s="745"/>
      <c r="F41" s="745"/>
      <c r="G41" s="745"/>
      <c r="H41" s="745"/>
      <c r="I41" s="745"/>
      <c r="J41" s="745"/>
      <c r="K41" s="745"/>
      <c r="L41" s="745"/>
      <c r="M41" s="746"/>
    </row>
    <row r="42" spans="1:13">
      <c r="A42" s="128" t="s">
        <v>186</v>
      </c>
      <c r="C42" s="744"/>
      <c r="D42" s="745"/>
      <c r="E42" s="745"/>
      <c r="F42" s="745"/>
      <c r="G42" s="745"/>
      <c r="H42" s="745"/>
      <c r="I42" s="745"/>
      <c r="J42" s="745"/>
      <c r="K42" s="745"/>
      <c r="L42" s="745"/>
      <c r="M42" s="746"/>
    </row>
    <row r="43" spans="1:13">
      <c r="A43" s="128" t="s">
        <v>186</v>
      </c>
      <c r="C43" s="744"/>
      <c r="D43" s="745"/>
      <c r="E43" s="745"/>
      <c r="F43" s="745"/>
      <c r="G43" s="745"/>
      <c r="H43" s="745"/>
      <c r="I43" s="745"/>
      <c r="J43" s="745"/>
      <c r="K43" s="745"/>
      <c r="L43" s="745"/>
      <c r="M43" s="746"/>
    </row>
    <row r="44" spans="1:13">
      <c r="A44" s="128" t="s">
        <v>186</v>
      </c>
      <c r="C44" s="744"/>
      <c r="D44" s="745"/>
      <c r="E44" s="745"/>
      <c r="F44" s="745"/>
      <c r="G44" s="745"/>
      <c r="H44" s="745"/>
      <c r="I44" s="745"/>
      <c r="J44" s="745"/>
      <c r="K44" s="745"/>
      <c r="L44" s="745"/>
      <c r="M44" s="746"/>
    </row>
    <row r="45" spans="1:13">
      <c r="A45" s="128" t="s">
        <v>186</v>
      </c>
      <c r="C45" s="744"/>
      <c r="D45" s="745"/>
      <c r="E45" s="745"/>
      <c r="F45" s="745"/>
      <c r="G45" s="745"/>
      <c r="H45" s="745"/>
      <c r="I45" s="745"/>
      <c r="J45" s="745"/>
      <c r="K45" s="745"/>
      <c r="L45" s="745"/>
      <c r="M45" s="746"/>
    </row>
    <row r="46" spans="1:13" ht="15" customHeight="1">
      <c r="A46" s="128" t="s">
        <v>186</v>
      </c>
      <c r="C46" s="744"/>
      <c r="D46" s="745"/>
      <c r="E46" s="745"/>
      <c r="F46" s="745"/>
      <c r="G46" s="745"/>
      <c r="H46" s="745"/>
      <c r="I46" s="745"/>
      <c r="J46" s="745"/>
      <c r="K46" s="745"/>
      <c r="L46" s="745"/>
      <c r="M46" s="746"/>
    </row>
    <row r="47" spans="1:13">
      <c r="A47" s="128" t="s">
        <v>186</v>
      </c>
      <c r="C47" s="744"/>
      <c r="D47" s="745"/>
      <c r="E47" s="745"/>
      <c r="F47" s="745"/>
      <c r="G47" s="745"/>
      <c r="H47" s="745"/>
      <c r="I47" s="745"/>
      <c r="J47" s="745"/>
      <c r="K47" s="745"/>
      <c r="L47" s="745"/>
      <c r="M47" s="746"/>
    </row>
    <row r="48" spans="1:13">
      <c r="A48" s="128" t="s">
        <v>186</v>
      </c>
      <c r="C48" s="744"/>
      <c r="D48" s="745"/>
      <c r="E48" s="745"/>
      <c r="F48" s="745"/>
      <c r="G48" s="745"/>
      <c r="H48" s="745"/>
      <c r="I48" s="745"/>
      <c r="J48" s="745"/>
      <c r="K48" s="745"/>
      <c r="L48" s="745"/>
      <c r="M48" s="746"/>
    </row>
    <row r="49" spans="1:13">
      <c r="A49" s="128" t="s">
        <v>186</v>
      </c>
      <c r="C49" s="744"/>
      <c r="D49" s="745"/>
      <c r="E49" s="745"/>
      <c r="F49" s="745"/>
      <c r="G49" s="745"/>
      <c r="H49" s="745"/>
      <c r="I49" s="745"/>
      <c r="J49" s="745"/>
      <c r="K49" s="745"/>
      <c r="L49" s="745"/>
      <c r="M49" s="746"/>
    </row>
    <row r="50" spans="1:13">
      <c r="A50" s="128" t="s">
        <v>186</v>
      </c>
      <c r="C50" s="744"/>
      <c r="D50" s="745"/>
      <c r="E50" s="745"/>
      <c r="F50" s="745"/>
      <c r="G50" s="745"/>
      <c r="H50" s="745"/>
      <c r="I50" s="745"/>
      <c r="J50" s="745"/>
      <c r="K50" s="745"/>
      <c r="L50" s="745"/>
      <c r="M50" s="746"/>
    </row>
    <row r="51" spans="1:13">
      <c r="A51" s="128" t="s">
        <v>186</v>
      </c>
      <c r="C51" s="744"/>
      <c r="D51" s="745"/>
      <c r="E51" s="745"/>
      <c r="F51" s="745"/>
      <c r="G51" s="745"/>
      <c r="H51" s="745"/>
      <c r="I51" s="745"/>
      <c r="J51" s="745"/>
      <c r="K51" s="745"/>
      <c r="L51" s="745"/>
      <c r="M51" s="746"/>
    </row>
    <row r="52" spans="1:13">
      <c r="A52" s="128" t="s">
        <v>186</v>
      </c>
      <c r="C52" s="747"/>
      <c r="D52" s="748"/>
      <c r="E52" s="748"/>
      <c r="F52" s="748"/>
      <c r="G52" s="748"/>
      <c r="H52" s="748"/>
      <c r="I52" s="748"/>
      <c r="J52" s="748"/>
      <c r="K52" s="748"/>
      <c r="L52" s="748"/>
      <c r="M52" s="749"/>
    </row>
    <row r="53" spans="1:13" ht="15.75" thickBot="1">
      <c r="A53" s="128" t="s">
        <v>186</v>
      </c>
    </row>
    <row r="54" spans="1:13" ht="15.75" thickBot="1">
      <c r="A54" s="128" t="s">
        <v>186</v>
      </c>
      <c r="C54" s="843" t="str">
        <f>Translation!B191</f>
        <v>Table 1: IESNA Illuminance Method - Recommended Values</v>
      </c>
      <c r="D54" s="844"/>
      <c r="E54" s="844"/>
      <c r="F54" s="844"/>
      <c r="G54" s="844"/>
      <c r="H54" s="844"/>
      <c r="I54" s="844"/>
      <c r="J54" s="844"/>
      <c r="K54" s="844"/>
      <c r="L54" s="844"/>
      <c r="M54" s="845"/>
    </row>
    <row r="55" spans="1:13" ht="15" customHeight="1">
      <c r="A55" s="128" t="s">
        <v>186</v>
      </c>
      <c r="C55" s="773" t="str">
        <f>Translation!B184</f>
        <v>Road and Pedestrian Conflict Area</v>
      </c>
      <c r="D55" s="774"/>
      <c r="E55" s="774"/>
      <c r="F55" s="775"/>
      <c r="G55" s="228"/>
      <c r="H55" s="229" t="str">
        <f>Translation!B154</f>
        <v>Illuminance Target (Iavg)</v>
      </c>
      <c r="I55" s="230"/>
      <c r="J55" s="813" t="str">
        <f>Translation!B199</f>
        <v>Uniformity Ratio Eavg/Emin</v>
      </c>
      <c r="K55" s="814"/>
      <c r="L55" s="854" t="str">
        <f>Translation!B201</f>
        <v>Veiling Luminance Ratio                   Lvmax/Lavg</v>
      </c>
      <c r="M55" s="855"/>
    </row>
    <row r="56" spans="1:13" ht="15" customHeight="1">
      <c r="A56" s="128" t="s">
        <v>186</v>
      </c>
      <c r="C56" s="776"/>
      <c r="D56" s="777"/>
      <c r="E56" s="777"/>
      <c r="F56" s="778"/>
      <c r="G56" s="873" t="str">
        <f>Translation!B179</f>
        <v>Pavement Classification
(Minimum Maintained Average Values)</v>
      </c>
      <c r="H56" s="874"/>
      <c r="I56" s="875"/>
      <c r="J56" s="815"/>
      <c r="K56" s="816"/>
      <c r="L56" s="856"/>
      <c r="M56" s="857"/>
    </row>
    <row r="57" spans="1:13">
      <c r="A57" s="128" t="s">
        <v>186</v>
      </c>
      <c r="C57" s="779"/>
      <c r="D57" s="780"/>
      <c r="E57" s="780"/>
      <c r="F57" s="781"/>
      <c r="G57" s="876"/>
      <c r="H57" s="877"/>
      <c r="I57" s="878"/>
      <c r="J57" s="815"/>
      <c r="K57" s="816"/>
      <c r="L57" s="856"/>
      <c r="M57" s="857"/>
    </row>
    <row r="58" spans="1:13" ht="15" customHeight="1">
      <c r="A58" s="128" t="s">
        <v>186</v>
      </c>
      <c r="C58" s="847" t="str">
        <f>Translation!B183</f>
        <v>Road</v>
      </c>
      <c r="D58" s="848"/>
      <c r="E58" s="864" t="str">
        <f>Translation!B180</f>
        <v>Pedestrian Conflict Areas</v>
      </c>
      <c r="F58" s="865"/>
      <c r="G58" s="871" t="s">
        <v>189</v>
      </c>
      <c r="H58" s="871" t="s">
        <v>190</v>
      </c>
      <c r="I58" s="871" t="s">
        <v>191</v>
      </c>
      <c r="J58" s="815"/>
      <c r="K58" s="816"/>
      <c r="L58" s="856"/>
      <c r="M58" s="857"/>
    </row>
    <row r="59" spans="1:13" ht="15.75" thickBot="1">
      <c r="A59" s="128" t="s">
        <v>186</v>
      </c>
      <c r="C59" s="849"/>
      <c r="D59" s="812"/>
      <c r="E59" s="866"/>
      <c r="F59" s="867"/>
      <c r="G59" s="872"/>
      <c r="H59" s="872"/>
      <c r="I59" s="872"/>
      <c r="J59" s="817"/>
      <c r="K59" s="818"/>
      <c r="L59" s="858"/>
      <c r="M59" s="859"/>
    </row>
    <row r="60" spans="1:13" ht="15" customHeight="1">
      <c r="A60" s="128" t="s">
        <v>186</v>
      </c>
      <c r="C60" s="850" t="str">
        <f>Translation!B148</f>
        <v>Freeway Class A</v>
      </c>
      <c r="D60" s="851"/>
      <c r="E60" s="788"/>
      <c r="F60" s="790"/>
      <c r="G60" s="231">
        <v>6</v>
      </c>
      <c r="H60" s="231">
        <v>9</v>
      </c>
      <c r="I60" s="231">
        <v>8</v>
      </c>
      <c r="J60" s="788">
        <v>3</v>
      </c>
      <c r="K60" s="790"/>
      <c r="L60" s="788">
        <v>0.3</v>
      </c>
      <c r="M60" s="868"/>
    </row>
    <row r="61" spans="1:13">
      <c r="A61" s="128" t="s">
        <v>186</v>
      </c>
      <c r="C61" s="880" t="str">
        <f>Translation!B149</f>
        <v>Freeway Class B</v>
      </c>
      <c r="D61" s="881"/>
      <c r="E61" s="782"/>
      <c r="F61" s="783"/>
      <c r="G61" s="232">
        <v>4</v>
      </c>
      <c r="H61" s="232">
        <v>6</v>
      </c>
      <c r="I61" s="232">
        <v>5</v>
      </c>
      <c r="J61" s="782">
        <v>3</v>
      </c>
      <c r="K61" s="783"/>
      <c r="L61" s="782">
        <v>0.3</v>
      </c>
      <c r="M61" s="830"/>
    </row>
    <row r="62" spans="1:13">
      <c r="A62" s="128" t="s">
        <v>186</v>
      </c>
      <c r="C62" s="794" t="str">
        <f>Translation!B147</f>
        <v>Expressway</v>
      </c>
      <c r="D62" s="795"/>
      <c r="E62" s="782" t="str">
        <f>Translation!B150</f>
        <v>High</v>
      </c>
      <c r="F62" s="783"/>
      <c r="G62" s="232">
        <v>10</v>
      </c>
      <c r="H62" s="232">
        <v>14</v>
      </c>
      <c r="I62" s="232">
        <v>13</v>
      </c>
      <c r="J62" s="782">
        <v>3</v>
      </c>
      <c r="K62" s="783"/>
      <c r="L62" s="782">
        <v>0.3</v>
      </c>
      <c r="M62" s="830"/>
    </row>
    <row r="63" spans="1:13">
      <c r="A63" s="128" t="s">
        <v>186</v>
      </c>
      <c r="C63" s="796"/>
      <c r="D63" s="797"/>
      <c r="E63" s="782" t="str">
        <f>Translation!B288</f>
        <v>Medium</v>
      </c>
      <c r="F63" s="783"/>
      <c r="G63" s="232">
        <v>8</v>
      </c>
      <c r="H63" s="232">
        <v>12</v>
      </c>
      <c r="I63" s="232">
        <v>10</v>
      </c>
      <c r="J63" s="782">
        <v>3</v>
      </c>
      <c r="K63" s="783"/>
      <c r="L63" s="782">
        <v>0.3</v>
      </c>
      <c r="M63" s="830"/>
    </row>
    <row r="64" spans="1:13">
      <c r="A64" s="128" t="s">
        <v>186</v>
      </c>
      <c r="C64" s="852"/>
      <c r="D64" s="853"/>
      <c r="E64" s="782" t="str">
        <f>Translation!B160</f>
        <v>Low</v>
      </c>
      <c r="F64" s="783"/>
      <c r="G64" s="232">
        <v>6</v>
      </c>
      <c r="H64" s="232">
        <v>9</v>
      </c>
      <c r="I64" s="232">
        <v>8</v>
      </c>
      <c r="J64" s="782">
        <v>3</v>
      </c>
      <c r="K64" s="783"/>
      <c r="L64" s="782">
        <v>0.3</v>
      </c>
      <c r="M64" s="830"/>
    </row>
    <row r="65" spans="1:14">
      <c r="A65" s="128" t="s">
        <v>186</v>
      </c>
      <c r="C65" s="794" t="str">
        <f>Translation!B165</f>
        <v>Major</v>
      </c>
      <c r="D65" s="795"/>
      <c r="E65" s="782" t="str">
        <f>Translation!B150</f>
        <v>High</v>
      </c>
      <c r="F65" s="783"/>
      <c r="G65" s="232">
        <v>12</v>
      </c>
      <c r="H65" s="232">
        <v>17</v>
      </c>
      <c r="I65" s="232">
        <v>15</v>
      </c>
      <c r="J65" s="782">
        <v>3</v>
      </c>
      <c r="K65" s="783"/>
      <c r="L65" s="782">
        <v>0.3</v>
      </c>
      <c r="M65" s="830"/>
    </row>
    <row r="66" spans="1:14">
      <c r="A66" s="128" t="s">
        <v>186</v>
      </c>
      <c r="C66" s="796"/>
      <c r="D66" s="797"/>
      <c r="E66" s="782" t="str">
        <f>Translation!B288</f>
        <v>Medium</v>
      </c>
      <c r="F66" s="783"/>
      <c r="G66" s="232">
        <v>9</v>
      </c>
      <c r="H66" s="232">
        <v>13</v>
      </c>
      <c r="I66" s="232">
        <v>11</v>
      </c>
      <c r="J66" s="782">
        <v>3</v>
      </c>
      <c r="K66" s="783"/>
      <c r="L66" s="782">
        <v>0.3</v>
      </c>
      <c r="M66" s="830"/>
    </row>
    <row r="67" spans="1:14">
      <c r="A67" s="128" t="s">
        <v>186</v>
      </c>
      <c r="C67" s="852"/>
      <c r="D67" s="853"/>
      <c r="E67" s="782" t="str">
        <f>Translation!B160</f>
        <v>Low</v>
      </c>
      <c r="F67" s="783"/>
      <c r="G67" s="232">
        <v>6</v>
      </c>
      <c r="H67" s="232">
        <v>9</v>
      </c>
      <c r="I67" s="232">
        <v>8</v>
      </c>
      <c r="J67" s="782">
        <v>3</v>
      </c>
      <c r="K67" s="783"/>
      <c r="L67" s="782">
        <v>0.3</v>
      </c>
      <c r="M67" s="830"/>
    </row>
    <row r="68" spans="1:14">
      <c r="A68" s="128" t="s">
        <v>186</v>
      </c>
      <c r="C68" s="794" t="str">
        <f>Translation!B145</f>
        <v>Collector</v>
      </c>
      <c r="D68" s="795"/>
      <c r="E68" s="782" t="str">
        <f>Translation!B150</f>
        <v>High</v>
      </c>
      <c r="F68" s="783"/>
      <c r="G68" s="232">
        <v>8</v>
      </c>
      <c r="H68" s="232">
        <v>12</v>
      </c>
      <c r="I68" s="232">
        <v>10</v>
      </c>
      <c r="J68" s="782">
        <v>4</v>
      </c>
      <c r="K68" s="783"/>
      <c r="L68" s="782">
        <v>0.4</v>
      </c>
      <c r="M68" s="830"/>
    </row>
    <row r="69" spans="1:14">
      <c r="A69" s="128" t="s">
        <v>186</v>
      </c>
      <c r="C69" s="796"/>
      <c r="D69" s="797"/>
      <c r="E69" s="782" t="str">
        <f>Translation!B288</f>
        <v>Medium</v>
      </c>
      <c r="F69" s="783"/>
      <c r="G69" s="232">
        <v>6</v>
      </c>
      <c r="H69" s="232">
        <v>9</v>
      </c>
      <c r="I69" s="232">
        <v>8</v>
      </c>
      <c r="J69" s="782">
        <v>4</v>
      </c>
      <c r="K69" s="783"/>
      <c r="L69" s="782">
        <v>0.4</v>
      </c>
      <c r="M69" s="830"/>
    </row>
    <row r="70" spans="1:14">
      <c r="A70" s="128" t="s">
        <v>186</v>
      </c>
      <c r="C70" s="852"/>
      <c r="D70" s="853"/>
      <c r="E70" s="782" t="str">
        <f>Translation!B160</f>
        <v>Low</v>
      </c>
      <c r="F70" s="783"/>
      <c r="G70" s="232">
        <v>4</v>
      </c>
      <c r="H70" s="232">
        <v>6</v>
      </c>
      <c r="I70" s="232">
        <v>5</v>
      </c>
      <c r="J70" s="782">
        <v>4</v>
      </c>
      <c r="K70" s="783"/>
      <c r="L70" s="782">
        <v>0.4</v>
      </c>
      <c r="M70" s="830"/>
    </row>
    <row r="71" spans="1:14">
      <c r="A71" s="128" t="s">
        <v>186</v>
      </c>
      <c r="C71" s="794" t="str">
        <f>Translation!B159</f>
        <v>Local</v>
      </c>
      <c r="D71" s="795"/>
      <c r="E71" s="782" t="str">
        <f>Translation!B150</f>
        <v>High</v>
      </c>
      <c r="F71" s="783"/>
      <c r="G71" s="232">
        <v>6</v>
      </c>
      <c r="H71" s="232">
        <v>9</v>
      </c>
      <c r="I71" s="232">
        <v>8</v>
      </c>
      <c r="J71" s="782">
        <v>6</v>
      </c>
      <c r="K71" s="783"/>
      <c r="L71" s="782">
        <v>0.4</v>
      </c>
      <c r="M71" s="830"/>
    </row>
    <row r="72" spans="1:14">
      <c r="A72" s="128" t="s">
        <v>186</v>
      </c>
      <c r="C72" s="796"/>
      <c r="D72" s="797"/>
      <c r="E72" s="782" t="str">
        <f>Translation!B288</f>
        <v>Medium</v>
      </c>
      <c r="F72" s="783"/>
      <c r="G72" s="232">
        <v>5</v>
      </c>
      <c r="H72" s="232">
        <v>7</v>
      </c>
      <c r="I72" s="232">
        <v>6</v>
      </c>
      <c r="J72" s="782">
        <v>6</v>
      </c>
      <c r="K72" s="783"/>
      <c r="L72" s="782">
        <v>0.4</v>
      </c>
      <c r="M72" s="830"/>
    </row>
    <row r="73" spans="1:14" ht="15.75" thickBot="1">
      <c r="A73" s="128" t="s">
        <v>186</v>
      </c>
      <c r="C73" s="798"/>
      <c r="D73" s="799"/>
      <c r="E73" s="791" t="str">
        <f>Translation!B160</f>
        <v>Low</v>
      </c>
      <c r="F73" s="793"/>
      <c r="G73" s="233">
        <v>3</v>
      </c>
      <c r="H73" s="233">
        <v>4</v>
      </c>
      <c r="I73" s="233">
        <v>4</v>
      </c>
      <c r="J73" s="791">
        <v>6</v>
      </c>
      <c r="K73" s="793"/>
      <c r="L73" s="791">
        <v>0.4</v>
      </c>
      <c r="M73" s="869"/>
    </row>
    <row r="74" spans="1:14" ht="15.75" thickBot="1">
      <c r="A74" s="128" t="s">
        <v>186</v>
      </c>
    </row>
    <row r="75" spans="1:14" ht="15" customHeight="1" thickBot="1">
      <c r="A75" s="128" t="s">
        <v>186</v>
      </c>
      <c r="C75" s="843" t="str">
        <f>Translation!B287</f>
        <v>Table 2: IESNA Luminance Method - Recommended Values</v>
      </c>
      <c r="D75" s="844"/>
      <c r="E75" s="844"/>
      <c r="F75" s="844"/>
      <c r="G75" s="844"/>
      <c r="H75" s="844"/>
      <c r="I75" s="844"/>
      <c r="J75" s="844"/>
      <c r="K75" s="844"/>
      <c r="L75" s="844"/>
      <c r="M75" s="844"/>
      <c r="N75" s="845"/>
    </row>
    <row r="76" spans="1:14" ht="15" customHeight="1">
      <c r="A76" s="128" t="s">
        <v>186</v>
      </c>
      <c r="C76" s="773" t="str">
        <f>Translation!B184</f>
        <v>Road and Pedestrian Conflict Area</v>
      </c>
      <c r="D76" s="774"/>
      <c r="E76" s="774"/>
      <c r="F76" s="775"/>
      <c r="G76" s="809" t="s">
        <v>346</v>
      </c>
      <c r="H76" s="775"/>
      <c r="I76" s="813" t="s">
        <v>347</v>
      </c>
      <c r="J76" s="814"/>
      <c r="K76" s="819" t="s">
        <v>348</v>
      </c>
      <c r="L76" s="820"/>
      <c r="M76" s="831" t="s">
        <v>349</v>
      </c>
      <c r="N76" s="860"/>
    </row>
    <row r="77" spans="1:14">
      <c r="A77" s="128" t="s">
        <v>186</v>
      </c>
      <c r="C77" s="776"/>
      <c r="D77" s="777"/>
      <c r="E77" s="777"/>
      <c r="F77" s="778"/>
      <c r="G77" s="810"/>
      <c r="H77" s="778"/>
      <c r="I77" s="815"/>
      <c r="J77" s="816"/>
      <c r="K77" s="821"/>
      <c r="L77" s="822"/>
      <c r="M77" s="861"/>
      <c r="N77" s="862"/>
    </row>
    <row r="78" spans="1:14" ht="15" customHeight="1">
      <c r="A78" s="128" t="s">
        <v>186</v>
      </c>
      <c r="C78" s="779"/>
      <c r="D78" s="780"/>
      <c r="E78" s="780"/>
      <c r="F78" s="781"/>
      <c r="G78" s="810"/>
      <c r="H78" s="778"/>
      <c r="I78" s="815"/>
      <c r="J78" s="816"/>
      <c r="K78" s="821"/>
      <c r="L78" s="822"/>
      <c r="M78" s="861"/>
      <c r="N78" s="862"/>
    </row>
    <row r="79" spans="1:14" ht="15" customHeight="1">
      <c r="A79" s="128" t="s">
        <v>186</v>
      </c>
      <c r="C79" s="847" t="str">
        <f>Translation!B183</f>
        <v>Road</v>
      </c>
      <c r="D79" s="848"/>
      <c r="E79" s="864" t="str">
        <f>Translation!B180</f>
        <v>Pedestrian Conflict Areas</v>
      </c>
      <c r="F79" s="865"/>
      <c r="G79" s="810"/>
      <c r="H79" s="778"/>
      <c r="I79" s="815"/>
      <c r="J79" s="816"/>
      <c r="K79" s="821"/>
      <c r="L79" s="822"/>
      <c r="M79" s="861"/>
      <c r="N79" s="862"/>
    </row>
    <row r="80" spans="1:14" ht="15.75" thickBot="1">
      <c r="A80" s="128" t="s">
        <v>186</v>
      </c>
      <c r="C80" s="849"/>
      <c r="D80" s="812"/>
      <c r="E80" s="866"/>
      <c r="F80" s="867"/>
      <c r="G80" s="811"/>
      <c r="H80" s="812"/>
      <c r="I80" s="817"/>
      <c r="J80" s="818"/>
      <c r="K80" s="823"/>
      <c r="L80" s="824"/>
      <c r="M80" s="832"/>
      <c r="N80" s="863"/>
    </row>
    <row r="81" spans="1:14">
      <c r="A81" s="128" t="s">
        <v>186</v>
      </c>
      <c r="C81" s="850" t="str">
        <f>Translation!B148</f>
        <v>Freeway Class A</v>
      </c>
      <c r="D81" s="851"/>
      <c r="E81" s="788"/>
      <c r="F81" s="790"/>
      <c r="G81" s="788">
        <v>0.6</v>
      </c>
      <c r="H81" s="790"/>
      <c r="I81" s="788">
        <v>3.5</v>
      </c>
      <c r="J81" s="790"/>
      <c r="K81" s="788">
        <v>6</v>
      </c>
      <c r="L81" s="868"/>
      <c r="M81" s="879">
        <v>0.3</v>
      </c>
      <c r="N81" s="868"/>
    </row>
    <row r="82" spans="1:14">
      <c r="A82" s="128" t="s">
        <v>186</v>
      </c>
      <c r="C82" s="880" t="str">
        <f>Translation!B149</f>
        <v>Freeway Class B</v>
      </c>
      <c r="D82" s="881"/>
      <c r="E82" s="782"/>
      <c r="F82" s="783"/>
      <c r="G82" s="782">
        <v>0.4</v>
      </c>
      <c r="H82" s="783"/>
      <c r="I82" s="782">
        <v>3.5</v>
      </c>
      <c r="J82" s="783"/>
      <c r="K82" s="782">
        <v>6</v>
      </c>
      <c r="L82" s="830"/>
      <c r="M82" s="870">
        <v>0.3</v>
      </c>
      <c r="N82" s="830"/>
    </row>
    <row r="83" spans="1:14">
      <c r="A83" s="128" t="s">
        <v>186</v>
      </c>
      <c r="C83" s="794" t="str">
        <f>Translation!B147</f>
        <v>Expressway</v>
      </c>
      <c r="D83" s="795"/>
      <c r="E83" s="782" t="str">
        <f>Translation!B150</f>
        <v>High</v>
      </c>
      <c r="F83" s="783"/>
      <c r="G83" s="782">
        <v>1</v>
      </c>
      <c r="H83" s="783"/>
      <c r="I83" s="782">
        <v>3</v>
      </c>
      <c r="J83" s="783"/>
      <c r="K83" s="782">
        <v>5</v>
      </c>
      <c r="L83" s="830"/>
      <c r="M83" s="870">
        <v>0.3</v>
      </c>
      <c r="N83" s="830"/>
    </row>
    <row r="84" spans="1:14">
      <c r="A84" s="128" t="s">
        <v>186</v>
      </c>
      <c r="C84" s="796"/>
      <c r="D84" s="797"/>
      <c r="E84" s="782" t="str">
        <f>Translation!B288</f>
        <v>Medium</v>
      </c>
      <c r="F84" s="783"/>
      <c r="G84" s="782">
        <v>0.8</v>
      </c>
      <c r="H84" s="783"/>
      <c r="I84" s="782">
        <v>3</v>
      </c>
      <c r="J84" s="783"/>
      <c r="K84" s="782">
        <v>5</v>
      </c>
      <c r="L84" s="830"/>
      <c r="M84" s="870">
        <v>0.3</v>
      </c>
      <c r="N84" s="830"/>
    </row>
    <row r="85" spans="1:14">
      <c r="A85" s="128" t="s">
        <v>186</v>
      </c>
      <c r="C85" s="852"/>
      <c r="D85" s="853"/>
      <c r="E85" s="782" t="str">
        <f>Translation!B160</f>
        <v>Low</v>
      </c>
      <c r="F85" s="783"/>
      <c r="G85" s="782">
        <v>0.6</v>
      </c>
      <c r="H85" s="783"/>
      <c r="I85" s="782">
        <v>3.5</v>
      </c>
      <c r="J85" s="783"/>
      <c r="K85" s="782">
        <v>6</v>
      </c>
      <c r="L85" s="830"/>
      <c r="M85" s="870">
        <v>0.3</v>
      </c>
      <c r="N85" s="830"/>
    </row>
    <row r="86" spans="1:14">
      <c r="A86" s="128" t="s">
        <v>186</v>
      </c>
      <c r="C86" s="794" t="str">
        <f>Translation!B165</f>
        <v>Major</v>
      </c>
      <c r="D86" s="795"/>
      <c r="E86" s="782" t="str">
        <f>Translation!B150</f>
        <v>High</v>
      </c>
      <c r="F86" s="783"/>
      <c r="G86" s="782">
        <v>1.2</v>
      </c>
      <c r="H86" s="783"/>
      <c r="I86" s="782">
        <v>3</v>
      </c>
      <c r="J86" s="783"/>
      <c r="K86" s="782">
        <v>5</v>
      </c>
      <c r="L86" s="830"/>
      <c r="M86" s="870">
        <v>0.3</v>
      </c>
      <c r="N86" s="830"/>
    </row>
    <row r="87" spans="1:14">
      <c r="A87" s="128" t="s">
        <v>186</v>
      </c>
      <c r="C87" s="796"/>
      <c r="D87" s="797"/>
      <c r="E87" s="782" t="str">
        <f>Translation!B288</f>
        <v>Medium</v>
      </c>
      <c r="F87" s="783"/>
      <c r="G87" s="782">
        <v>0.9</v>
      </c>
      <c r="H87" s="783"/>
      <c r="I87" s="782">
        <v>3</v>
      </c>
      <c r="J87" s="783"/>
      <c r="K87" s="782">
        <v>5</v>
      </c>
      <c r="L87" s="830"/>
      <c r="M87" s="870">
        <v>0.3</v>
      </c>
      <c r="N87" s="830"/>
    </row>
    <row r="88" spans="1:14">
      <c r="A88" s="128" t="s">
        <v>186</v>
      </c>
      <c r="C88" s="852"/>
      <c r="D88" s="853"/>
      <c r="E88" s="782" t="str">
        <f>Translation!B160</f>
        <v>Low</v>
      </c>
      <c r="F88" s="783"/>
      <c r="G88" s="782">
        <v>0.6</v>
      </c>
      <c r="H88" s="783"/>
      <c r="I88" s="782">
        <v>3.5</v>
      </c>
      <c r="J88" s="783"/>
      <c r="K88" s="782">
        <v>6</v>
      </c>
      <c r="L88" s="830"/>
      <c r="M88" s="870">
        <v>0.3</v>
      </c>
      <c r="N88" s="830"/>
    </row>
    <row r="89" spans="1:14">
      <c r="A89" s="128" t="s">
        <v>186</v>
      </c>
      <c r="C89" s="794" t="str">
        <f>Translation!B145</f>
        <v>Collector</v>
      </c>
      <c r="D89" s="795"/>
      <c r="E89" s="782" t="str">
        <f>Translation!B150</f>
        <v>High</v>
      </c>
      <c r="F89" s="783"/>
      <c r="G89" s="782">
        <v>0.8</v>
      </c>
      <c r="H89" s="783"/>
      <c r="I89" s="782">
        <v>3</v>
      </c>
      <c r="J89" s="783"/>
      <c r="K89" s="782">
        <v>5</v>
      </c>
      <c r="L89" s="830"/>
      <c r="M89" s="870">
        <v>0.4</v>
      </c>
      <c r="N89" s="830"/>
    </row>
    <row r="90" spans="1:14">
      <c r="A90" s="128" t="s">
        <v>186</v>
      </c>
      <c r="C90" s="796"/>
      <c r="D90" s="797"/>
      <c r="E90" s="782" t="str">
        <f>Translation!B288</f>
        <v>Medium</v>
      </c>
      <c r="F90" s="783"/>
      <c r="G90" s="782">
        <v>0.6</v>
      </c>
      <c r="H90" s="783"/>
      <c r="I90" s="782">
        <v>3.5</v>
      </c>
      <c r="J90" s="783"/>
      <c r="K90" s="782">
        <v>6</v>
      </c>
      <c r="L90" s="830"/>
      <c r="M90" s="870">
        <v>0.4</v>
      </c>
      <c r="N90" s="830"/>
    </row>
    <row r="91" spans="1:14">
      <c r="A91" s="128" t="s">
        <v>186</v>
      </c>
      <c r="C91" s="852"/>
      <c r="D91" s="853"/>
      <c r="E91" s="782" t="str">
        <f>Translation!B160</f>
        <v>Low</v>
      </c>
      <c r="F91" s="783"/>
      <c r="G91" s="782">
        <v>0.4</v>
      </c>
      <c r="H91" s="783"/>
      <c r="I91" s="782">
        <v>4</v>
      </c>
      <c r="J91" s="783"/>
      <c r="K91" s="782">
        <v>8</v>
      </c>
      <c r="L91" s="830"/>
      <c r="M91" s="870">
        <v>0.4</v>
      </c>
      <c r="N91" s="830"/>
    </row>
    <row r="92" spans="1:14">
      <c r="A92" s="128" t="s">
        <v>186</v>
      </c>
      <c r="C92" s="794" t="str">
        <f>Translation!B159</f>
        <v>Local</v>
      </c>
      <c r="D92" s="795"/>
      <c r="E92" s="782" t="str">
        <f>Translation!B150</f>
        <v>High</v>
      </c>
      <c r="F92" s="783"/>
      <c r="G92" s="782">
        <v>0.6</v>
      </c>
      <c r="H92" s="783"/>
      <c r="I92" s="782">
        <v>6</v>
      </c>
      <c r="J92" s="783"/>
      <c r="K92" s="782">
        <v>10</v>
      </c>
      <c r="L92" s="830"/>
      <c r="M92" s="870">
        <v>0.4</v>
      </c>
      <c r="N92" s="830"/>
    </row>
    <row r="93" spans="1:14">
      <c r="A93" s="128" t="s">
        <v>186</v>
      </c>
      <c r="C93" s="796"/>
      <c r="D93" s="797"/>
      <c r="E93" s="782" t="str">
        <f>Translation!B288</f>
        <v>Medium</v>
      </c>
      <c r="F93" s="783"/>
      <c r="G93" s="782">
        <v>0.5</v>
      </c>
      <c r="H93" s="783"/>
      <c r="I93" s="782">
        <v>6</v>
      </c>
      <c r="J93" s="783"/>
      <c r="K93" s="782">
        <v>10</v>
      </c>
      <c r="L93" s="830"/>
      <c r="M93" s="870">
        <v>0.4</v>
      </c>
      <c r="N93" s="830"/>
    </row>
    <row r="94" spans="1:14" ht="15.75" thickBot="1">
      <c r="A94" s="128" t="s">
        <v>186</v>
      </c>
      <c r="C94" s="798"/>
      <c r="D94" s="799"/>
      <c r="E94" s="791" t="str">
        <f>Translation!B160</f>
        <v>Low</v>
      </c>
      <c r="F94" s="793"/>
      <c r="G94" s="791">
        <v>0.3</v>
      </c>
      <c r="H94" s="793"/>
      <c r="I94" s="791">
        <v>6</v>
      </c>
      <c r="J94" s="793"/>
      <c r="K94" s="791">
        <v>10</v>
      </c>
      <c r="L94" s="869"/>
      <c r="M94" s="916">
        <v>0.4</v>
      </c>
      <c r="N94" s="869"/>
    </row>
    <row r="95" spans="1:14">
      <c r="A95" s="128" t="s">
        <v>186</v>
      </c>
    </row>
    <row r="96" spans="1:14" ht="15" customHeight="1">
      <c r="A96" s="128" t="s">
        <v>186</v>
      </c>
      <c r="C96" s="741"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42"/>
      <c r="E96" s="742"/>
      <c r="F96" s="742"/>
      <c r="G96" s="742"/>
      <c r="H96" s="742"/>
      <c r="I96" s="742"/>
      <c r="J96" s="742"/>
      <c r="K96" s="742"/>
      <c r="L96" s="742"/>
      <c r="M96" s="743"/>
    </row>
    <row r="97" spans="1:13">
      <c r="A97" s="128" t="s">
        <v>186</v>
      </c>
      <c r="C97" s="744"/>
      <c r="D97" s="745"/>
      <c r="E97" s="745"/>
      <c r="F97" s="745"/>
      <c r="G97" s="745"/>
      <c r="H97" s="745"/>
      <c r="I97" s="745"/>
      <c r="J97" s="745"/>
      <c r="K97" s="745"/>
      <c r="L97" s="745"/>
      <c r="M97" s="746"/>
    </row>
    <row r="98" spans="1:13">
      <c r="A98" s="128" t="s">
        <v>186</v>
      </c>
      <c r="C98" s="744"/>
      <c r="D98" s="745"/>
      <c r="E98" s="745"/>
      <c r="F98" s="745"/>
      <c r="G98" s="745"/>
      <c r="H98" s="745"/>
      <c r="I98" s="745"/>
      <c r="J98" s="745"/>
      <c r="K98" s="745"/>
      <c r="L98" s="745"/>
      <c r="M98" s="746"/>
    </row>
    <row r="99" spans="1:13">
      <c r="A99" s="128" t="s">
        <v>186</v>
      </c>
      <c r="C99" s="744"/>
      <c r="D99" s="745"/>
      <c r="E99" s="745"/>
      <c r="F99" s="745"/>
      <c r="G99" s="745"/>
      <c r="H99" s="745"/>
      <c r="I99" s="745"/>
      <c r="J99" s="745"/>
      <c r="K99" s="745"/>
      <c r="L99" s="745"/>
      <c r="M99" s="746"/>
    </row>
    <row r="100" spans="1:13">
      <c r="A100" s="128" t="s">
        <v>186</v>
      </c>
      <c r="C100" s="744"/>
      <c r="D100" s="745"/>
      <c r="E100" s="745"/>
      <c r="F100" s="745"/>
      <c r="G100" s="745"/>
      <c r="H100" s="745"/>
      <c r="I100" s="745"/>
      <c r="J100" s="745"/>
      <c r="K100" s="745"/>
      <c r="L100" s="745"/>
      <c r="M100" s="746"/>
    </row>
    <row r="101" spans="1:13">
      <c r="A101" s="128" t="s">
        <v>186</v>
      </c>
      <c r="C101" s="744"/>
      <c r="D101" s="745"/>
      <c r="E101" s="745"/>
      <c r="F101" s="745"/>
      <c r="G101" s="745"/>
      <c r="H101" s="745"/>
      <c r="I101" s="745"/>
      <c r="J101" s="745"/>
      <c r="K101" s="745"/>
      <c r="L101" s="745"/>
      <c r="M101" s="746"/>
    </row>
    <row r="102" spans="1:13">
      <c r="A102" s="128" t="s">
        <v>186</v>
      </c>
      <c r="C102" s="744"/>
      <c r="D102" s="745"/>
      <c r="E102" s="745"/>
      <c r="F102" s="745"/>
      <c r="G102" s="745"/>
      <c r="H102" s="745"/>
      <c r="I102" s="745"/>
      <c r="J102" s="745"/>
      <c r="K102" s="745"/>
      <c r="L102" s="745"/>
      <c r="M102" s="746"/>
    </row>
    <row r="103" spans="1:13">
      <c r="A103" s="128" t="s">
        <v>186</v>
      </c>
      <c r="C103" s="744"/>
      <c r="D103" s="745"/>
      <c r="E103" s="745"/>
      <c r="F103" s="745"/>
      <c r="G103" s="745"/>
      <c r="H103" s="745"/>
      <c r="I103" s="745"/>
      <c r="J103" s="745"/>
      <c r="K103" s="745"/>
      <c r="L103" s="745"/>
      <c r="M103" s="746"/>
    </row>
    <row r="104" spans="1:13">
      <c r="A104" s="128" t="s">
        <v>186</v>
      </c>
      <c r="C104" s="744"/>
      <c r="D104" s="745"/>
      <c r="E104" s="745"/>
      <c r="F104" s="745"/>
      <c r="G104" s="745"/>
      <c r="H104" s="745"/>
      <c r="I104" s="745"/>
      <c r="J104" s="745"/>
      <c r="K104" s="745"/>
      <c r="L104" s="745"/>
      <c r="M104" s="746"/>
    </row>
    <row r="105" spans="1:13">
      <c r="A105" s="128" t="s">
        <v>186</v>
      </c>
      <c r="C105" s="744"/>
      <c r="D105" s="745"/>
      <c r="E105" s="745"/>
      <c r="F105" s="745"/>
      <c r="G105" s="745"/>
      <c r="H105" s="745"/>
      <c r="I105" s="745"/>
      <c r="J105" s="745"/>
      <c r="K105" s="745"/>
      <c r="L105" s="745"/>
      <c r="M105" s="746"/>
    </row>
    <row r="106" spans="1:13">
      <c r="A106" s="128" t="s">
        <v>186</v>
      </c>
      <c r="C106" s="744"/>
      <c r="D106" s="745"/>
      <c r="E106" s="745"/>
      <c r="F106" s="745"/>
      <c r="G106" s="745"/>
      <c r="H106" s="745"/>
      <c r="I106" s="745"/>
      <c r="J106" s="745"/>
      <c r="K106" s="745"/>
      <c r="L106" s="745"/>
      <c r="M106" s="746"/>
    </row>
    <row r="107" spans="1:13">
      <c r="A107" s="128" t="s">
        <v>186</v>
      </c>
      <c r="C107" s="744"/>
      <c r="D107" s="745"/>
      <c r="E107" s="745"/>
      <c r="F107" s="745"/>
      <c r="G107" s="745"/>
      <c r="H107" s="745"/>
      <c r="I107" s="745"/>
      <c r="J107" s="745"/>
      <c r="K107" s="745"/>
      <c r="L107" s="745"/>
      <c r="M107" s="746"/>
    </row>
    <row r="108" spans="1:13">
      <c r="A108" s="128" t="s">
        <v>186</v>
      </c>
      <c r="C108" s="744"/>
      <c r="D108" s="745"/>
      <c r="E108" s="745"/>
      <c r="F108" s="745"/>
      <c r="G108" s="745"/>
      <c r="H108" s="745"/>
      <c r="I108" s="745"/>
      <c r="J108" s="745"/>
      <c r="K108" s="745"/>
      <c r="L108" s="745"/>
      <c r="M108" s="746"/>
    </row>
    <row r="109" spans="1:13">
      <c r="A109" s="128" t="s">
        <v>186</v>
      </c>
      <c r="C109" s="744"/>
      <c r="D109" s="745"/>
      <c r="E109" s="745"/>
      <c r="F109" s="745"/>
      <c r="G109" s="745"/>
      <c r="H109" s="745"/>
      <c r="I109" s="745"/>
      <c r="J109" s="745"/>
      <c r="K109" s="745"/>
      <c r="L109" s="745"/>
      <c r="M109" s="746"/>
    </row>
    <row r="110" spans="1:13">
      <c r="A110" s="128" t="s">
        <v>186</v>
      </c>
      <c r="C110" s="744"/>
      <c r="D110" s="745"/>
      <c r="E110" s="745"/>
      <c r="F110" s="745"/>
      <c r="G110" s="745"/>
      <c r="H110" s="745"/>
      <c r="I110" s="745"/>
      <c r="J110" s="745"/>
      <c r="K110" s="745"/>
      <c r="L110" s="745"/>
      <c r="M110" s="746"/>
    </row>
    <row r="111" spans="1:13">
      <c r="A111" s="128" t="s">
        <v>186</v>
      </c>
      <c r="C111" s="744"/>
      <c r="D111" s="745"/>
      <c r="E111" s="745"/>
      <c r="F111" s="745"/>
      <c r="G111" s="745"/>
      <c r="H111" s="745"/>
      <c r="I111" s="745"/>
      <c r="J111" s="745"/>
      <c r="K111" s="745"/>
      <c r="L111" s="745"/>
      <c r="M111" s="746"/>
    </row>
    <row r="112" spans="1:13">
      <c r="A112" s="128" t="s">
        <v>186</v>
      </c>
      <c r="C112" s="744"/>
      <c r="D112" s="745"/>
      <c r="E112" s="745"/>
      <c r="F112" s="745"/>
      <c r="G112" s="745"/>
      <c r="H112" s="745"/>
      <c r="I112" s="745"/>
      <c r="J112" s="745"/>
      <c r="K112" s="745"/>
      <c r="L112" s="745"/>
      <c r="M112" s="746"/>
    </row>
    <row r="113" spans="1:13">
      <c r="A113" s="128" t="s">
        <v>186</v>
      </c>
      <c r="C113" s="744"/>
      <c r="D113" s="745"/>
      <c r="E113" s="745"/>
      <c r="F113" s="745"/>
      <c r="G113" s="745"/>
      <c r="H113" s="745"/>
      <c r="I113" s="745"/>
      <c r="J113" s="745"/>
      <c r="K113" s="745"/>
      <c r="L113" s="745"/>
      <c r="M113" s="746"/>
    </row>
    <row r="114" spans="1:13">
      <c r="A114" s="128" t="s">
        <v>186</v>
      </c>
      <c r="C114" s="744"/>
      <c r="D114" s="745"/>
      <c r="E114" s="745"/>
      <c r="F114" s="745"/>
      <c r="G114" s="745"/>
      <c r="H114" s="745"/>
      <c r="I114" s="745"/>
      <c r="J114" s="745"/>
      <c r="K114" s="745"/>
      <c r="L114" s="745"/>
      <c r="M114" s="746"/>
    </row>
    <row r="115" spans="1:13">
      <c r="A115" s="128" t="s">
        <v>186</v>
      </c>
      <c r="C115" s="744"/>
      <c r="D115" s="745"/>
      <c r="E115" s="745"/>
      <c r="F115" s="745"/>
      <c r="G115" s="745"/>
      <c r="H115" s="745"/>
      <c r="I115" s="745"/>
      <c r="J115" s="745"/>
      <c r="K115" s="745"/>
      <c r="L115" s="745"/>
      <c r="M115" s="746"/>
    </row>
    <row r="116" spans="1:13">
      <c r="A116" s="128" t="s">
        <v>186</v>
      </c>
      <c r="C116" s="744"/>
      <c r="D116" s="745"/>
      <c r="E116" s="745"/>
      <c r="F116" s="745"/>
      <c r="G116" s="745"/>
      <c r="H116" s="745"/>
      <c r="I116" s="745"/>
      <c r="J116" s="745"/>
      <c r="K116" s="745"/>
      <c r="L116" s="745"/>
      <c r="M116" s="746"/>
    </row>
    <row r="117" spans="1:13">
      <c r="A117" s="128" t="s">
        <v>186</v>
      </c>
      <c r="C117" s="744"/>
      <c r="D117" s="745"/>
      <c r="E117" s="745"/>
      <c r="F117" s="745"/>
      <c r="G117" s="745"/>
      <c r="H117" s="745"/>
      <c r="I117" s="745"/>
      <c r="J117" s="745"/>
      <c r="K117" s="745"/>
      <c r="L117" s="745"/>
      <c r="M117" s="746"/>
    </row>
    <row r="118" spans="1:13">
      <c r="A118" s="128" t="s">
        <v>186</v>
      </c>
      <c r="C118" s="744"/>
      <c r="D118" s="745"/>
      <c r="E118" s="745"/>
      <c r="F118" s="745"/>
      <c r="G118" s="745"/>
      <c r="H118" s="745"/>
      <c r="I118" s="745"/>
      <c r="J118" s="745"/>
      <c r="K118" s="745"/>
      <c r="L118" s="745"/>
      <c r="M118" s="746"/>
    </row>
    <row r="119" spans="1:13">
      <c r="A119" s="128" t="s">
        <v>186</v>
      </c>
      <c r="C119" s="744"/>
      <c r="D119" s="745"/>
      <c r="E119" s="745"/>
      <c r="F119" s="745"/>
      <c r="G119" s="745"/>
      <c r="H119" s="745"/>
      <c r="I119" s="745"/>
      <c r="J119" s="745"/>
      <c r="K119" s="745"/>
      <c r="L119" s="745"/>
      <c r="M119" s="746"/>
    </row>
    <row r="120" spans="1:13">
      <c r="A120" s="128" t="s">
        <v>186</v>
      </c>
      <c r="C120" s="744"/>
      <c r="D120" s="745"/>
      <c r="E120" s="745"/>
      <c r="F120" s="745"/>
      <c r="G120" s="745"/>
      <c r="H120" s="745"/>
      <c r="I120" s="745"/>
      <c r="J120" s="745"/>
      <c r="K120" s="745"/>
      <c r="L120" s="745"/>
      <c r="M120" s="746"/>
    </row>
    <row r="121" spans="1:13">
      <c r="A121" s="128" t="s">
        <v>186</v>
      </c>
      <c r="C121" s="744"/>
      <c r="D121" s="745"/>
      <c r="E121" s="745"/>
      <c r="F121" s="745"/>
      <c r="G121" s="745"/>
      <c r="H121" s="745"/>
      <c r="I121" s="745"/>
      <c r="J121" s="745"/>
      <c r="K121" s="745"/>
      <c r="L121" s="745"/>
      <c r="M121" s="746"/>
    </row>
    <row r="122" spans="1:13" ht="45.75" customHeight="1">
      <c r="A122" s="128" t="s">
        <v>186</v>
      </c>
      <c r="B122" s="524" t="str">
        <f>Translation!B126</f>
        <v>Go back</v>
      </c>
      <c r="C122" s="744"/>
      <c r="D122" s="745"/>
      <c r="E122" s="745"/>
      <c r="F122" s="745"/>
      <c r="G122" s="745"/>
      <c r="H122" s="745"/>
      <c r="I122" s="745"/>
      <c r="J122" s="745"/>
      <c r="K122" s="745"/>
      <c r="L122" s="745"/>
      <c r="M122" s="746"/>
    </row>
    <row r="123" spans="1:13">
      <c r="A123" s="128" t="s">
        <v>186</v>
      </c>
      <c r="C123" s="744"/>
      <c r="D123" s="745"/>
      <c r="E123" s="745"/>
      <c r="F123" s="745"/>
      <c r="G123" s="745"/>
      <c r="H123" s="745"/>
      <c r="I123" s="745"/>
      <c r="J123" s="745"/>
      <c r="K123" s="745"/>
      <c r="L123" s="745"/>
      <c r="M123" s="746"/>
    </row>
    <row r="124" spans="1:13">
      <c r="A124" s="128" t="s">
        <v>186</v>
      </c>
      <c r="C124" s="744"/>
      <c r="D124" s="745"/>
      <c r="E124" s="745"/>
      <c r="F124" s="745"/>
      <c r="G124" s="745"/>
      <c r="H124" s="745"/>
      <c r="I124" s="745"/>
      <c r="J124" s="745"/>
      <c r="K124" s="745"/>
      <c r="L124" s="745"/>
      <c r="M124" s="746"/>
    </row>
    <row r="125" spans="1:13" ht="31.5" customHeight="1">
      <c r="A125" s="128" t="s">
        <v>186</v>
      </c>
      <c r="B125" s="296" t="str">
        <f>Translation!B186</f>
        <v>Road Surface Type</v>
      </c>
      <c r="C125" s="744"/>
      <c r="D125" s="745"/>
      <c r="E125" s="745"/>
      <c r="F125" s="745"/>
      <c r="G125" s="745"/>
      <c r="H125" s="745"/>
      <c r="I125" s="745"/>
      <c r="J125" s="745"/>
      <c r="K125" s="745"/>
      <c r="L125" s="745"/>
      <c r="M125" s="746"/>
    </row>
    <row r="126" spans="1:13">
      <c r="A126" s="128" t="s">
        <v>186</v>
      </c>
      <c r="C126" s="744"/>
      <c r="D126" s="745"/>
      <c r="E126" s="745"/>
      <c r="F126" s="745"/>
      <c r="G126" s="745"/>
      <c r="H126" s="745"/>
      <c r="I126" s="745"/>
      <c r="J126" s="745"/>
      <c r="K126" s="745"/>
      <c r="L126" s="745"/>
      <c r="M126" s="746"/>
    </row>
    <row r="127" spans="1:13">
      <c r="A127" s="128" t="s">
        <v>186</v>
      </c>
      <c r="C127" s="744"/>
      <c r="D127" s="745"/>
      <c r="E127" s="745"/>
      <c r="F127" s="745"/>
      <c r="G127" s="745"/>
      <c r="H127" s="745"/>
      <c r="I127" s="745"/>
      <c r="J127" s="745"/>
      <c r="K127" s="745"/>
      <c r="L127" s="745"/>
      <c r="M127" s="746"/>
    </row>
    <row r="128" spans="1:13">
      <c r="A128" s="128" t="s">
        <v>186</v>
      </c>
      <c r="C128" s="744"/>
      <c r="D128" s="745"/>
      <c r="E128" s="745"/>
      <c r="F128" s="745"/>
      <c r="G128" s="745"/>
      <c r="H128" s="745"/>
      <c r="I128" s="745"/>
      <c r="J128" s="745"/>
      <c r="K128" s="745"/>
      <c r="L128" s="745"/>
      <c r="M128" s="746"/>
    </row>
    <row r="129" spans="1:13">
      <c r="A129" s="128" t="s">
        <v>186</v>
      </c>
      <c r="C129" s="744"/>
      <c r="D129" s="745"/>
      <c r="E129" s="745"/>
      <c r="F129" s="745"/>
      <c r="G129" s="745"/>
      <c r="H129" s="745"/>
      <c r="I129" s="745"/>
      <c r="J129" s="745"/>
      <c r="K129" s="745"/>
      <c r="L129" s="745"/>
      <c r="M129" s="746"/>
    </row>
    <row r="130" spans="1:13">
      <c r="A130" s="128" t="s">
        <v>186</v>
      </c>
      <c r="C130" s="744"/>
      <c r="D130" s="745"/>
      <c r="E130" s="745"/>
      <c r="F130" s="745"/>
      <c r="G130" s="745"/>
      <c r="H130" s="745"/>
      <c r="I130" s="745"/>
      <c r="J130" s="745"/>
      <c r="K130" s="745"/>
      <c r="L130" s="745"/>
      <c r="M130" s="746"/>
    </row>
    <row r="131" spans="1:13">
      <c r="A131" s="128" t="s">
        <v>186</v>
      </c>
      <c r="C131" s="744"/>
      <c r="D131" s="745"/>
      <c r="E131" s="745"/>
      <c r="F131" s="745"/>
      <c r="G131" s="745"/>
      <c r="H131" s="745"/>
      <c r="I131" s="745"/>
      <c r="J131" s="745"/>
      <c r="K131" s="745"/>
      <c r="L131" s="745"/>
      <c r="M131" s="746"/>
    </row>
    <row r="132" spans="1:13">
      <c r="A132" s="128" t="s">
        <v>186</v>
      </c>
      <c r="C132" s="744"/>
      <c r="D132" s="745"/>
      <c r="E132" s="745"/>
      <c r="F132" s="745"/>
      <c r="G132" s="745"/>
      <c r="H132" s="745"/>
      <c r="I132" s="745"/>
      <c r="J132" s="745"/>
      <c r="K132" s="745"/>
      <c r="L132" s="745"/>
      <c r="M132" s="746"/>
    </row>
    <row r="133" spans="1:13">
      <c r="A133" s="128" t="s">
        <v>186</v>
      </c>
      <c r="C133" s="744"/>
      <c r="D133" s="745"/>
      <c r="E133" s="745"/>
      <c r="F133" s="745"/>
      <c r="G133" s="745"/>
      <c r="H133" s="745"/>
      <c r="I133" s="745"/>
      <c r="J133" s="745"/>
      <c r="K133" s="745"/>
      <c r="L133" s="745"/>
      <c r="M133" s="746"/>
    </row>
    <row r="134" spans="1:13">
      <c r="A134" s="128" t="s">
        <v>186</v>
      </c>
      <c r="C134" s="744"/>
      <c r="D134" s="745"/>
      <c r="E134" s="745"/>
      <c r="F134" s="745"/>
      <c r="G134" s="745"/>
      <c r="H134" s="745"/>
      <c r="I134" s="745"/>
      <c r="J134" s="745"/>
      <c r="K134" s="745"/>
      <c r="L134" s="745"/>
      <c r="M134" s="746"/>
    </row>
    <row r="135" spans="1:13">
      <c r="A135" s="128" t="s">
        <v>186</v>
      </c>
      <c r="C135" s="747"/>
      <c r="D135" s="748"/>
      <c r="E135" s="748"/>
      <c r="F135" s="748"/>
      <c r="G135" s="748"/>
      <c r="H135" s="748"/>
      <c r="I135" s="748"/>
      <c r="J135" s="748"/>
      <c r="K135" s="748"/>
      <c r="L135" s="748"/>
      <c r="M135" s="749"/>
    </row>
    <row r="136" spans="1:13" ht="21" customHeight="1">
      <c r="A136" s="128" t="s">
        <v>186</v>
      </c>
      <c r="C136" s="840" t="str">
        <f>Translation!B211</f>
        <v xml:space="preserve">Design Criteria  Illuminance </v>
      </c>
      <c r="D136" s="841"/>
      <c r="E136" s="841"/>
      <c r="F136" s="841"/>
      <c r="G136" s="841"/>
      <c r="H136" s="841"/>
      <c r="I136" s="841"/>
      <c r="J136" s="841"/>
      <c r="K136" s="841"/>
      <c r="L136" s="841"/>
      <c r="M136" s="842"/>
    </row>
    <row r="137" spans="1:13" ht="15" customHeight="1">
      <c r="A137" s="128" t="s">
        <v>186</v>
      </c>
      <c r="C137" s="803"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4"/>
      <c r="E137" s="804"/>
      <c r="F137" s="804"/>
      <c r="G137" s="804"/>
      <c r="H137" s="804"/>
      <c r="I137" s="804"/>
      <c r="J137" s="804"/>
      <c r="K137" s="804"/>
      <c r="L137" s="804"/>
      <c r="M137" s="805"/>
    </row>
    <row r="138" spans="1:13">
      <c r="A138" s="128" t="s">
        <v>186</v>
      </c>
      <c r="C138" s="803"/>
      <c r="D138" s="804"/>
      <c r="E138" s="804"/>
      <c r="F138" s="804"/>
      <c r="G138" s="804"/>
      <c r="H138" s="804"/>
      <c r="I138" s="804"/>
      <c r="J138" s="804"/>
      <c r="K138" s="804"/>
      <c r="L138" s="804"/>
      <c r="M138" s="805"/>
    </row>
    <row r="139" spans="1:13">
      <c r="A139" s="128" t="s">
        <v>186</v>
      </c>
      <c r="C139" s="803"/>
      <c r="D139" s="804"/>
      <c r="E139" s="804"/>
      <c r="F139" s="804"/>
      <c r="G139" s="804"/>
      <c r="H139" s="804"/>
      <c r="I139" s="804"/>
      <c r="J139" s="804"/>
      <c r="K139" s="804"/>
      <c r="L139" s="804"/>
      <c r="M139" s="805"/>
    </row>
    <row r="140" spans="1:13">
      <c r="A140" s="128" t="s">
        <v>186</v>
      </c>
      <c r="C140" s="803"/>
      <c r="D140" s="804"/>
      <c r="E140" s="804"/>
      <c r="F140" s="804"/>
      <c r="G140" s="804"/>
      <c r="H140" s="804"/>
      <c r="I140" s="804"/>
      <c r="J140" s="804"/>
      <c r="K140" s="804"/>
      <c r="L140" s="804"/>
      <c r="M140" s="805"/>
    </row>
    <row r="141" spans="1:13">
      <c r="A141" s="128" t="s">
        <v>186</v>
      </c>
      <c r="C141" s="803"/>
      <c r="D141" s="804"/>
      <c r="E141" s="804"/>
      <c r="F141" s="804"/>
      <c r="G141" s="804"/>
      <c r="H141" s="804"/>
      <c r="I141" s="804"/>
      <c r="J141" s="804"/>
      <c r="K141" s="804"/>
      <c r="L141" s="804"/>
      <c r="M141" s="805"/>
    </row>
    <row r="142" spans="1:13">
      <c r="A142" s="128" t="s">
        <v>186</v>
      </c>
      <c r="C142" s="803"/>
      <c r="D142" s="804"/>
      <c r="E142" s="804"/>
      <c r="F142" s="804"/>
      <c r="G142" s="804"/>
      <c r="H142" s="804"/>
      <c r="I142" s="804"/>
      <c r="J142" s="804"/>
      <c r="K142" s="804"/>
      <c r="L142" s="804"/>
      <c r="M142" s="805"/>
    </row>
    <row r="143" spans="1:13">
      <c r="A143" s="128" t="s">
        <v>186</v>
      </c>
      <c r="C143" s="803"/>
      <c r="D143" s="804"/>
      <c r="E143" s="804"/>
      <c r="F143" s="804"/>
      <c r="G143" s="804"/>
      <c r="H143" s="804"/>
      <c r="I143" s="804"/>
      <c r="J143" s="804"/>
      <c r="K143" s="804"/>
      <c r="L143" s="804"/>
      <c r="M143" s="805"/>
    </row>
    <row r="144" spans="1:13">
      <c r="A144" s="128" t="s">
        <v>186</v>
      </c>
      <c r="C144" s="803"/>
      <c r="D144" s="804"/>
      <c r="E144" s="804"/>
      <c r="F144" s="804"/>
      <c r="G144" s="804"/>
      <c r="H144" s="804"/>
      <c r="I144" s="804"/>
      <c r="J144" s="804"/>
      <c r="K144" s="804"/>
      <c r="L144" s="804"/>
      <c r="M144" s="805"/>
    </row>
    <row r="145" spans="1:13" ht="15" customHeight="1">
      <c r="A145" s="128" t="s">
        <v>186</v>
      </c>
      <c r="C145" s="803"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4"/>
      <c r="E145" s="804"/>
      <c r="F145" s="804"/>
      <c r="G145" s="804"/>
      <c r="H145" s="804"/>
      <c r="I145" s="804"/>
      <c r="J145" s="804"/>
      <c r="K145" s="804"/>
      <c r="L145" s="804"/>
      <c r="M145" s="805"/>
    </row>
    <row r="146" spans="1:13">
      <c r="A146" s="128" t="s">
        <v>186</v>
      </c>
      <c r="C146" s="803"/>
      <c r="D146" s="804"/>
      <c r="E146" s="804"/>
      <c r="F146" s="804"/>
      <c r="G146" s="804"/>
      <c r="H146" s="804"/>
      <c r="I146" s="804"/>
      <c r="J146" s="804"/>
      <c r="K146" s="804"/>
      <c r="L146" s="804"/>
      <c r="M146" s="805"/>
    </row>
    <row r="147" spans="1:13">
      <c r="A147" s="128" t="s">
        <v>186</v>
      </c>
      <c r="C147" s="803"/>
      <c r="D147" s="804"/>
      <c r="E147" s="804"/>
      <c r="F147" s="804"/>
      <c r="G147" s="804"/>
      <c r="H147" s="804"/>
      <c r="I147" s="804"/>
      <c r="J147" s="804"/>
      <c r="K147" s="804"/>
      <c r="L147" s="804"/>
      <c r="M147" s="805"/>
    </row>
    <row r="148" spans="1:13">
      <c r="A148" s="128" t="s">
        <v>186</v>
      </c>
      <c r="C148" s="803"/>
      <c r="D148" s="804"/>
      <c r="E148" s="804"/>
      <c r="F148" s="804"/>
      <c r="G148" s="804"/>
      <c r="H148" s="804"/>
      <c r="I148" s="804"/>
      <c r="J148" s="804"/>
      <c r="K148" s="804"/>
      <c r="L148" s="804"/>
      <c r="M148" s="805"/>
    </row>
    <row r="149" spans="1:13">
      <c r="A149" s="128" t="s">
        <v>186</v>
      </c>
      <c r="C149" s="803"/>
      <c r="D149" s="804"/>
      <c r="E149" s="804"/>
      <c r="F149" s="804"/>
      <c r="G149" s="804"/>
      <c r="H149" s="804"/>
      <c r="I149" s="804"/>
      <c r="J149" s="804"/>
      <c r="K149" s="804"/>
      <c r="L149" s="804"/>
      <c r="M149" s="805"/>
    </row>
    <row r="150" spans="1:13">
      <c r="A150" s="128" t="s">
        <v>186</v>
      </c>
      <c r="C150" s="803"/>
      <c r="D150" s="804"/>
      <c r="E150" s="804"/>
      <c r="F150" s="804"/>
      <c r="G150" s="804"/>
      <c r="H150" s="804"/>
      <c r="I150" s="804"/>
      <c r="J150" s="804"/>
      <c r="K150" s="804"/>
      <c r="L150" s="804"/>
      <c r="M150" s="805"/>
    </row>
    <row r="151" spans="1:13">
      <c r="A151" s="128" t="s">
        <v>186</v>
      </c>
      <c r="C151" s="806"/>
      <c r="D151" s="807"/>
      <c r="E151" s="807"/>
      <c r="F151" s="807"/>
      <c r="G151" s="807"/>
      <c r="H151" s="807"/>
      <c r="I151" s="807"/>
      <c r="J151" s="807"/>
      <c r="K151" s="807"/>
      <c r="L151" s="807"/>
      <c r="M151" s="808"/>
    </row>
    <row r="152" spans="1:13">
      <c r="A152" s="128" t="s">
        <v>186</v>
      </c>
    </row>
    <row r="153" spans="1:13">
      <c r="A153" s="128" t="s">
        <v>181</v>
      </c>
    </row>
    <row r="154" spans="1:13" ht="18.75" customHeight="1">
      <c r="A154" s="128" t="s">
        <v>181</v>
      </c>
      <c r="B154" s="907" t="str">
        <f>Translation!B155</f>
        <v>International Commission on Illumination (CIE)</v>
      </c>
      <c r="C154" s="908"/>
      <c r="D154" s="908"/>
      <c r="E154" s="908"/>
      <c r="F154" s="908"/>
      <c r="G154" s="908"/>
      <c r="H154" s="908"/>
      <c r="I154" s="908"/>
      <c r="J154" s="908"/>
      <c r="K154" s="908"/>
      <c r="L154" s="908"/>
      <c r="M154" s="908"/>
    </row>
    <row r="155" spans="1:13">
      <c r="A155" s="128" t="s">
        <v>181</v>
      </c>
    </row>
    <row r="156" spans="1:13" ht="15" customHeight="1">
      <c r="A156" s="128" t="s">
        <v>181</v>
      </c>
      <c r="C156" s="741"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42"/>
      <c r="E156" s="742"/>
      <c r="F156" s="742"/>
      <c r="G156" s="742"/>
      <c r="H156" s="742"/>
      <c r="I156" s="742"/>
      <c r="J156" s="742"/>
      <c r="K156" s="742"/>
      <c r="L156" s="742"/>
      <c r="M156" s="743"/>
    </row>
    <row r="157" spans="1:13" ht="15" customHeight="1">
      <c r="A157" s="128" t="s">
        <v>181</v>
      </c>
      <c r="C157" s="744"/>
      <c r="D157" s="745"/>
      <c r="E157" s="745"/>
      <c r="F157" s="745"/>
      <c r="G157" s="745"/>
      <c r="H157" s="745"/>
      <c r="I157" s="745"/>
      <c r="J157" s="745"/>
      <c r="K157" s="745"/>
      <c r="L157" s="745"/>
      <c r="M157" s="746"/>
    </row>
    <row r="158" spans="1:13" ht="15" customHeight="1">
      <c r="A158" s="128" t="s">
        <v>181</v>
      </c>
      <c r="C158" s="744"/>
      <c r="D158" s="745"/>
      <c r="E158" s="745"/>
      <c r="F158" s="745"/>
      <c r="G158" s="745"/>
      <c r="H158" s="745"/>
      <c r="I158" s="745"/>
      <c r="J158" s="745"/>
      <c r="K158" s="745"/>
      <c r="L158" s="745"/>
      <c r="M158" s="746"/>
    </row>
    <row r="159" spans="1:13" ht="15" customHeight="1">
      <c r="A159" s="128" t="s">
        <v>181</v>
      </c>
      <c r="C159" s="744"/>
      <c r="D159" s="745"/>
      <c r="E159" s="745"/>
      <c r="F159" s="745"/>
      <c r="G159" s="745"/>
      <c r="H159" s="745"/>
      <c r="I159" s="745"/>
      <c r="J159" s="745"/>
      <c r="K159" s="745"/>
      <c r="L159" s="745"/>
      <c r="M159" s="746"/>
    </row>
    <row r="160" spans="1:13" ht="15" customHeight="1">
      <c r="A160" s="128" t="s">
        <v>181</v>
      </c>
      <c r="C160" s="744"/>
      <c r="D160" s="745"/>
      <c r="E160" s="745"/>
      <c r="F160" s="745"/>
      <c r="G160" s="745"/>
      <c r="H160" s="745"/>
      <c r="I160" s="745"/>
      <c r="J160" s="745"/>
      <c r="K160" s="745"/>
      <c r="L160" s="745"/>
      <c r="M160" s="746"/>
    </row>
    <row r="161" spans="1:13" ht="15" customHeight="1">
      <c r="A161" s="128" t="s">
        <v>181</v>
      </c>
      <c r="C161" s="744"/>
      <c r="D161" s="745"/>
      <c r="E161" s="745"/>
      <c r="F161" s="745"/>
      <c r="G161" s="745"/>
      <c r="H161" s="745"/>
      <c r="I161" s="745"/>
      <c r="J161" s="745"/>
      <c r="K161" s="745"/>
      <c r="L161" s="745"/>
      <c r="M161" s="746"/>
    </row>
    <row r="162" spans="1:13" ht="15" customHeight="1">
      <c r="A162" s="128" t="s">
        <v>181</v>
      </c>
      <c r="C162" s="744"/>
      <c r="D162" s="745"/>
      <c r="E162" s="745"/>
      <c r="F162" s="745"/>
      <c r="G162" s="745"/>
      <c r="H162" s="745"/>
      <c r="I162" s="745"/>
      <c r="J162" s="745"/>
      <c r="K162" s="745"/>
      <c r="L162" s="745"/>
      <c r="M162" s="746"/>
    </row>
    <row r="163" spans="1:13" ht="15" customHeight="1">
      <c r="A163" s="128" t="s">
        <v>181</v>
      </c>
      <c r="C163" s="744"/>
      <c r="D163" s="745"/>
      <c r="E163" s="745"/>
      <c r="F163" s="745"/>
      <c r="G163" s="745"/>
      <c r="H163" s="745"/>
      <c r="I163" s="745"/>
      <c r="J163" s="745"/>
      <c r="K163" s="745"/>
      <c r="L163" s="745"/>
      <c r="M163" s="746"/>
    </row>
    <row r="164" spans="1:13" ht="15" customHeight="1">
      <c r="A164" s="128" t="s">
        <v>181</v>
      </c>
      <c r="C164" s="744"/>
      <c r="D164" s="745"/>
      <c r="E164" s="745"/>
      <c r="F164" s="745"/>
      <c r="G164" s="745"/>
      <c r="H164" s="745"/>
      <c r="I164" s="745"/>
      <c r="J164" s="745"/>
      <c r="K164" s="745"/>
      <c r="L164" s="745"/>
      <c r="M164" s="746"/>
    </row>
    <row r="165" spans="1:13" ht="15" customHeight="1">
      <c r="A165" s="128" t="s">
        <v>181</v>
      </c>
      <c r="C165" s="744"/>
      <c r="D165" s="745"/>
      <c r="E165" s="745"/>
      <c r="F165" s="745"/>
      <c r="G165" s="745"/>
      <c r="H165" s="745"/>
      <c r="I165" s="745"/>
      <c r="J165" s="745"/>
      <c r="K165" s="745"/>
      <c r="L165" s="745"/>
      <c r="M165" s="746"/>
    </row>
    <row r="166" spans="1:13" ht="15" customHeight="1">
      <c r="A166" s="128" t="s">
        <v>181</v>
      </c>
      <c r="C166" s="747"/>
      <c r="D166" s="748"/>
      <c r="E166" s="748"/>
      <c r="F166" s="748"/>
      <c r="G166" s="748"/>
      <c r="H166" s="748"/>
      <c r="I166" s="748"/>
      <c r="J166" s="748"/>
      <c r="K166" s="748"/>
      <c r="L166" s="748"/>
      <c r="M166" s="749"/>
    </row>
    <row r="167" spans="1:13">
      <c r="A167" s="128" t="s">
        <v>181</v>
      </c>
    </row>
    <row r="168" spans="1:13" ht="15.75" thickBot="1">
      <c r="A168" s="128" t="s">
        <v>181</v>
      </c>
    </row>
    <row r="169" spans="1:13" ht="15.75" customHeight="1" thickBot="1">
      <c r="A169" s="128" t="s">
        <v>181</v>
      </c>
      <c r="C169" s="843" t="str">
        <f>Translation!B192</f>
        <v>Table 2: CIE Parameters for the Selection of M Lighting Class</v>
      </c>
      <c r="D169" s="844"/>
      <c r="E169" s="844"/>
      <c r="F169" s="844"/>
      <c r="G169" s="844"/>
      <c r="H169" s="844"/>
      <c r="I169" s="845"/>
    </row>
    <row r="170" spans="1:13" ht="15" customHeight="1">
      <c r="A170" s="128" t="s">
        <v>181</v>
      </c>
      <c r="C170" s="833" t="str">
        <f>Translation!B177</f>
        <v>Parameter</v>
      </c>
      <c r="D170" s="834"/>
      <c r="E170" s="903" t="str">
        <f>Translation!B174</f>
        <v>Options</v>
      </c>
      <c r="F170" s="904"/>
      <c r="G170" s="834"/>
      <c r="H170" s="828" t="str">
        <f>Translation!B207</f>
        <v>Weighting Value Vw</v>
      </c>
      <c r="I170" s="901" t="str">
        <f>Translation!B206</f>
        <v>Vw Selected</v>
      </c>
    </row>
    <row r="171" spans="1:13" ht="15.75" customHeight="1" thickBot="1">
      <c r="A171" s="128" t="s">
        <v>181</v>
      </c>
      <c r="C171" s="798"/>
      <c r="D171" s="799"/>
      <c r="E171" s="905"/>
      <c r="F171" s="906"/>
      <c r="G171" s="799"/>
      <c r="H171" s="829"/>
      <c r="I171" s="902"/>
    </row>
    <row r="172" spans="1:13" ht="15" customHeight="1">
      <c r="A172" s="128" t="s">
        <v>181</v>
      </c>
      <c r="C172" s="784" t="str">
        <f>Translation!B188</f>
        <v>Speed</v>
      </c>
      <c r="D172" s="785"/>
      <c r="E172" s="835" t="str">
        <f>Translation!B202</f>
        <v>Very High</v>
      </c>
      <c r="F172" s="836"/>
      <c r="G172" s="837"/>
      <c r="H172" s="234">
        <v>1</v>
      </c>
      <c r="I172" s="838"/>
    </row>
    <row r="173" spans="1:13" ht="15" customHeight="1">
      <c r="A173" s="128" t="s">
        <v>181</v>
      </c>
      <c r="C173" s="800"/>
      <c r="D173" s="801"/>
      <c r="E173" s="782" t="str">
        <f>Translation!B150</f>
        <v>High</v>
      </c>
      <c r="F173" s="802"/>
      <c r="G173" s="783"/>
      <c r="H173" s="235">
        <v>0.5</v>
      </c>
      <c r="I173" s="846"/>
    </row>
    <row r="174" spans="1:13" ht="15.75" customHeight="1" thickBot="1">
      <c r="A174" s="128" t="s">
        <v>181</v>
      </c>
      <c r="C174" s="786"/>
      <c r="D174" s="787"/>
      <c r="E174" s="791" t="str">
        <f>Translation!B168</f>
        <v>Moderate</v>
      </c>
      <c r="F174" s="792"/>
      <c r="G174" s="793"/>
      <c r="H174" s="236">
        <v>0</v>
      </c>
      <c r="I174" s="839"/>
    </row>
    <row r="175" spans="1:13" ht="15" customHeight="1">
      <c r="A175" s="128" t="s">
        <v>181</v>
      </c>
      <c r="C175" s="784" t="str">
        <f>Translation!B198</f>
        <v>Traffic Volume</v>
      </c>
      <c r="D175" s="785"/>
      <c r="E175" s="788" t="s">
        <v>138</v>
      </c>
      <c r="F175" s="789"/>
      <c r="G175" s="790"/>
      <c r="H175" s="234">
        <v>1</v>
      </c>
      <c r="I175" s="838"/>
    </row>
    <row r="176" spans="1:13" ht="15" customHeight="1">
      <c r="A176" s="128" t="s">
        <v>181</v>
      </c>
      <c r="C176" s="800"/>
      <c r="D176" s="801"/>
      <c r="E176" s="782" t="str">
        <f>Translation!B150</f>
        <v>High</v>
      </c>
      <c r="F176" s="802"/>
      <c r="G176" s="783"/>
      <c r="H176" s="235">
        <v>0.5</v>
      </c>
      <c r="I176" s="846"/>
    </row>
    <row r="177" spans="1:9" ht="15" customHeight="1">
      <c r="A177" s="128" t="s">
        <v>181</v>
      </c>
      <c r="C177" s="800"/>
      <c r="D177" s="801"/>
      <c r="E177" s="782" t="str">
        <f>Translation!B168</f>
        <v>Moderate</v>
      </c>
      <c r="F177" s="802"/>
      <c r="G177" s="783"/>
      <c r="H177" s="235">
        <v>0</v>
      </c>
      <c r="I177" s="846"/>
    </row>
    <row r="178" spans="1:9" ht="15" customHeight="1">
      <c r="A178" s="128" t="s">
        <v>181</v>
      </c>
      <c r="C178" s="800"/>
      <c r="D178" s="801"/>
      <c r="E178" s="782" t="str">
        <f>Translation!B160</f>
        <v>Low</v>
      </c>
      <c r="F178" s="802"/>
      <c r="G178" s="783"/>
      <c r="H178" s="235">
        <v>-0.5</v>
      </c>
      <c r="I178" s="846"/>
    </row>
    <row r="179" spans="1:9" ht="15.75" customHeight="1" thickBot="1">
      <c r="A179" s="128" t="s">
        <v>181</v>
      </c>
      <c r="C179" s="786"/>
      <c r="D179" s="787"/>
      <c r="E179" s="791" t="str">
        <f>Translation!B203</f>
        <v>Very Low</v>
      </c>
      <c r="F179" s="792"/>
      <c r="G179" s="793"/>
      <c r="H179" s="236">
        <v>-1</v>
      </c>
      <c r="I179" s="839"/>
    </row>
    <row r="180" spans="1:9" ht="15" customHeight="1">
      <c r="A180" s="128" t="s">
        <v>181</v>
      </c>
      <c r="C180" s="784" t="str">
        <f>Translation!B197</f>
        <v>Traffic Composition</v>
      </c>
      <c r="D180" s="785"/>
      <c r="E180" s="825" t="str">
        <f>Translation!B167</f>
        <v>Mixed with high % non motorized</v>
      </c>
      <c r="F180" s="826"/>
      <c r="G180" s="827"/>
      <c r="H180" s="234">
        <v>2</v>
      </c>
      <c r="I180" s="838"/>
    </row>
    <row r="181" spans="1:9" ht="15" customHeight="1">
      <c r="A181" s="128" t="s">
        <v>181</v>
      </c>
      <c r="C181" s="800"/>
      <c r="D181" s="801"/>
      <c r="E181" s="782" t="str">
        <f>Translation!B166</f>
        <v>Mixed</v>
      </c>
      <c r="F181" s="802"/>
      <c r="G181" s="783"/>
      <c r="H181" s="235">
        <v>1</v>
      </c>
      <c r="I181" s="846"/>
    </row>
    <row r="182" spans="1:9" ht="15.75" customHeight="1" thickBot="1">
      <c r="A182" s="128" t="s">
        <v>181</v>
      </c>
      <c r="C182" s="786"/>
      <c r="D182" s="787"/>
      <c r="E182" s="791" t="str">
        <f>Translation!B170</f>
        <v>Motorized only</v>
      </c>
      <c r="F182" s="792"/>
      <c r="G182" s="793"/>
      <c r="H182" s="236">
        <v>0</v>
      </c>
      <c r="I182" s="839"/>
    </row>
    <row r="183" spans="1:9" ht="15" customHeight="1">
      <c r="A183" s="128" t="s">
        <v>181</v>
      </c>
      <c r="C183" s="831" t="str">
        <f>Translation!B187</f>
        <v xml:space="preserve">Separation of carriageways
</v>
      </c>
      <c r="D183" s="814"/>
      <c r="E183" s="788" t="str">
        <f>Translation!B171</f>
        <v>No</v>
      </c>
      <c r="F183" s="789"/>
      <c r="G183" s="790"/>
      <c r="H183" s="234">
        <v>1</v>
      </c>
      <c r="I183" s="838"/>
    </row>
    <row r="184" spans="1:9" ht="15.75" customHeight="1" thickBot="1">
      <c r="A184" s="128" t="s">
        <v>181</v>
      </c>
      <c r="C184" s="832"/>
      <c r="D184" s="818"/>
      <c r="E184" s="791" t="str">
        <f>Translation!B209</f>
        <v>Yes</v>
      </c>
      <c r="F184" s="792"/>
      <c r="G184" s="793"/>
      <c r="H184" s="236">
        <v>0</v>
      </c>
      <c r="I184" s="839"/>
    </row>
    <row r="185" spans="1:9" ht="15" customHeight="1">
      <c r="A185" s="128" t="s">
        <v>181</v>
      </c>
      <c r="C185" s="784" t="str">
        <f>Translation!B157</f>
        <v>Intersection density</v>
      </c>
      <c r="D185" s="785"/>
      <c r="E185" s="788" t="str">
        <f>Translation!B150</f>
        <v>High</v>
      </c>
      <c r="F185" s="789"/>
      <c r="G185" s="790"/>
      <c r="H185" s="234">
        <v>1</v>
      </c>
      <c r="I185" s="838"/>
    </row>
    <row r="186" spans="1:9" ht="15.75" customHeight="1" thickBot="1">
      <c r="A186" s="128" t="s">
        <v>181</v>
      </c>
      <c r="C186" s="786"/>
      <c r="D186" s="787"/>
      <c r="E186" s="791" t="str">
        <f>Translation!B168</f>
        <v>Moderate</v>
      </c>
      <c r="F186" s="792"/>
      <c r="G186" s="793"/>
      <c r="H186" s="236">
        <v>0</v>
      </c>
      <c r="I186" s="839"/>
    </row>
    <row r="187" spans="1:9" ht="15" customHeight="1">
      <c r="A187" s="128" t="s">
        <v>181</v>
      </c>
      <c r="C187" s="784" t="str">
        <f>Translation!B178</f>
        <v>Parked Vehicles</v>
      </c>
      <c r="D187" s="785"/>
      <c r="E187" s="788" t="str">
        <f>Translation!B182</f>
        <v>Present</v>
      </c>
      <c r="F187" s="789"/>
      <c r="G187" s="790"/>
      <c r="H187" s="237">
        <v>0.5</v>
      </c>
      <c r="I187" s="838"/>
    </row>
    <row r="188" spans="1:9" ht="15.75" customHeight="1" thickBot="1">
      <c r="A188" s="128" t="s">
        <v>181</v>
      </c>
      <c r="C188" s="786"/>
      <c r="D188" s="787"/>
      <c r="E188" s="791" t="str">
        <f>Translation!B172</f>
        <v>Not present</v>
      </c>
      <c r="F188" s="792"/>
      <c r="G188" s="793"/>
      <c r="H188" s="238">
        <v>0</v>
      </c>
      <c r="I188" s="839"/>
    </row>
    <row r="189" spans="1:9" ht="15" customHeight="1">
      <c r="A189" s="128" t="s">
        <v>181</v>
      </c>
      <c r="C189" s="784" t="str">
        <f>Translation!B139</f>
        <v>Ambient luminance</v>
      </c>
      <c r="D189" s="785"/>
      <c r="E189" s="788" t="str">
        <f>Translation!B150</f>
        <v>High</v>
      </c>
      <c r="F189" s="789"/>
      <c r="G189" s="790"/>
      <c r="H189" s="234">
        <v>1</v>
      </c>
      <c r="I189" s="838"/>
    </row>
    <row r="190" spans="1:9" ht="15" customHeight="1">
      <c r="A190" s="128" t="s">
        <v>181</v>
      </c>
      <c r="C190" s="800"/>
      <c r="D190" s="801"/>
      <c r="E190" s="782" t="str">
        <f>Translation!B168</f>
        <v>Moderate</v>
      </c>
      <c r="F190" s="802"/>
      <c r="G190" s="783"/>
      <c r="H190" s="235">
        <v>0</v>
      </c>
      <c r="I190" s="846"/>
    </row>
    <row r="191" spans="1:9" ht="15.75" customHeight="1" thickBot="1">
      <c r="A191" s="128" t="s">
        <v>181</v>
      </c>
      <c r="C191" s="786"/>
      <c r="D191" s="787"/>
      <c r="E191" s="791" t="str">
        <f>Translation!B160</f>
        <v>Low</v>
      </c>
      <c r="F191" s="792"/>
      <c r="G191" s="793"/>
      <c r="H191" s="236">
        <v>-1</v>
      </c>
      <c r="I191" s="839"/>
    </row>
    <row r="192" spans="1:9" ht="15" customHeight="1">
      <c r="A192" s="128" t="s">
        <v>181</v>
      </c>
      <c r="C192" s="897" t="str">
        <f>Translation!B205</f>
        <v>Visual guidance/ traffic control</v>
      </c>
      <c r="D192" s="898"/>
      <c r="E192" s="788" t="str">
        <f>Translation!B181</f>
        <v>Poor</v>
      </c>
      <c r="F192" s="789"/>
      <c r="G192" s="790"/>
      <c r="H192" s="234">
        <v>0.5</v>
      </c>
      <c r="I192" s="838"/>
    </row>
    <row r="193" spans="1:14" ht="15.75" customHeight="1" thickBot="1">
      <c r="A193" s="128" t="s">
        <v>181</v>
      </c>
      <c r="C193" s="899"/>
      <c r="D193" s="900"/>
      <c r="E193" s="791" t="str">
        <f>Translation!B169</f>
        <v>Moderate or Good</v>
      </c>
      <c r="F193" s="792"/>
      <c r="G193" s="793"/>
      <c r="H193" s="236">
        <v>0</v>
      </c>
      <c r="I193" s="839"/>
      <c r="K193" s="741" t="str">
        <f>Translation!B195</f>
        <v xml:space="preserve">The lighting class is calculated as: 
M = 6 - Vws
This calculation will result in a class number between 1 and 6.  If the result is not a whole number, use the next lower whole number.  
</v>
      </c>
      <c r="L193" s="742"/>
      <c r="M193" s="742"/>
      <c r="N193" s="743"/>
    </row>
    <row r="194" spans="1:14" ht="15" customHeight="1">
      <c r="A194" s="128" t="s">
        <v>181</v>
      </c>
      <c r="H194" s="752" t="str">
        <f>Translation!B291</f>
        <v>Sum of Weighting Values (Vws)</v>
      </c>
      <c r="I194" s="755">
        <f>SUM(I172:I193)</f>
        <v>0</v>
      </c>
      <c r="K194" s="744"/>
      <c r="L194" s="745"/>
      <c r="M194" s="745"/>
      <c r="N194" s="746"/>
    </row>
    <row r="195" spans="1:14" ht="15" customHeight="1">
      <c r="A195" s="128" t="s">
        <v>181</v>
      </c>
      <c r="H195" s="753"/>
      <c r="I195" s="756"/>
      <c r="K195" s="744"/>
      <c r="L195" s="745"/>
      <c r="M195" s="745"/>
      <c r="N195" s="746"/>
    </row>
    <row r="196" spans="1:14" ht="15" customHeight="1">
      <c r="A196" s="128" t="s">
        <v>181</v>
      </c>
      <c r="H196" s="753"/>
      <c r="I196" s="756"/>
      <c r="K196" s="744"/>
      <c r="L196" s="745"/>
      <c r="M196" s="745"/>
      <c r="N196" s="746"/>
    </row>
    <row r="197" spans="1:14" ht="15" customHeight="1">
      <c r="A197" s="128" t="s">
        <v>181</v>
      </c>
      <c r="H197" s="754"/>
      <c r="I197" s="757"/>
      <c r="K197" s="744"/>
      <c r="L197" s="745"/>
      <c r="M197" s="745"/>
      <c r="N197" s="746"/>
    </row>
    <row r="198" spans="1:14" ht="15.75" customHeight="1" thickBot="1">
      <c r="A198" s="128" t="s">
        <v>181</v>
      </c>
      <c r="H198" s="239" t="str">
        <f>Translation!B290</f>
        <v>Class</v>
      </c>
      <c r="I198" s="653" t="str">
        <f>"M"&amp;FLOOR(6-I194,1)</f>
        <v>M6</v>
      </c>
      <c r="K198" s="747"/>
      <c r="L198" s="748"/>
      <c r="M198" s="748"/>
      <c r="N198" s="749"/>
    </row>
    <row r="199" spans="1:14">
      <c r="A199" s="128" t="s">
        <v>181</v>
      </c>
    </row>
    <row r="200" spans="1:14" ht="15.75" thickBot="1">
      <c r="A200" s="128" t="s">
        <v>181</v>
      </c>
    </row>
    <row r="201" spans="1:14" ht="15.75" customHeight="1" thickBot="1">
      <c r="A201" s="128" t="s">
        <v>181</v>
      </c>
      <c r="C201" s="891" t="str">
        <f>Translation!B193</f>
        <v>Table 3: CIE Lighting classes for motorized traffic</v>
      </c>
      <c r="D201" s="892"/>
      <c r="E201" s="892"/>
      <c r="F201" s="892"/>
      <c r="G201" s="892"/>
      <c r="H201" s="892"/>
      <c r="I201" s="893"/>
    </row>
    <row r="202" spans="1:14" ht="15.75" customHeight="1" thickBot="1">
      <c r="A202" s="128" t="s">
        <v>181</v>
      </c>
      <c r="C202" s="894" t="str">
        <f>Translation!B158</f>
        <v>Lighting class</v>
      </c>
      <c r="D202" s="758" t="str">
        <f>Translation!B185</f>
        <v>Road Surface</v>
      </c>
      <c r="E202" s="759"/>
      <c r="F202" s="759"/>
      <c r="G202" s="760"/>
      <c r="H202" s="761" t="str">
        <f>Translation!B196</f>
        <v>Threshold increment</v>
      </c>
      <c r="I202" s="761" t="str">
        <f>Translation!B190</f>
        <v>Surround ratio</v>
      </c>
    </row>
    <row r="203" spans="1:14" ht="15.75" customHeight="1" thickBot="1">
      <c r="A203" s="128" t="s">
        <v>181</v>
      </c>
      <c r="C203" s="895"/>
      <c r="D203" s="758" t="str">
        <f>Translation!B146</f>
        <v>Dry</v>
      </c>
      <c r="E203" s="759"/>
      <c r="F203" s="760"/>
      <c r="G203" s="595" t="str">
        <f>Translation!B208</f>
        <v>Wet*</v>
      </c>
      <c r="H203" s="762"/>
      <c r="I203" s="762"/>
    </row>
    <row r="204" spans="1:14" ht="15" customHeight="1">
      <c r="A204" s="128" t="s">
        <v>181</v>
      </c>
      <c r="C204" s="895"/>
      <c r="D204" s="765" t="s">
        <v>184</v>
      </c>
      <c r="E204" s="767" t="s">
        <v>1788</v>
      </c>
      <c r="F204" s="769" t="s">
        <v>169</v>
      </c>
      <c r="G204" s="771" t="s">
        <v>168</v>
      </c>
      <c r="H204" s="750" t="s">
        <v>170</v>
      </c>
      <c r="I204" s="750" t="s">
        <v>171</v>
      </c>
    </row>
    <row r="205" spans="1:14" ht="15.75" customHeight="1" thickBot="1">
      <c r="A205" s="128" t="s">
        <v>181</v>
      </c>
      <c r="C205" s="896"/>
      <c r="D205" s="766"/>
      <c r="E205" s="768"/>
      <c r="F205" s="770"/>
      <c r="G205" s="772"/>
      <c r="H205" s="751"/>
      <c r="I205" s="751"/>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910" t="str">
        <f>Translation!B214</f>
        <v>CIE Classification Definitions</v>
      </c>
      <c r="D214" s="911"/>
      <c r="E214" s="911"/>
      <c r="F214" s="911"/>
      <c r="G214" s="911"/>
      <c r="H214" s="911"/>
      <c r="I214" s="912"/>
    </row>
    <row r="215" spans="1:9">
      <c r="A215" s="128" t="s">
        <v>181</v>
      </c>
      <c r="C215" s="888" t="str">
        <f>Translation!B215</f>
        <v>Average Luminance of the Road Surface (Lav)</v>
      </c>
      <c r="D215" s="889"/>
      <c r="E215" s="889"/>
      <c r="F215" s="889"/>
      <c r="G215" s="889"/>
      <c r="H215" s="889"/>
      <c r="I215" s="890"/>
    </row>
    <row r="216" spans="1:9" ht="61.5" customHeight="1">
      <c r="A216" s="128" t="s">
        <v>181</v>
      </c>
      <c r="C216" s="885"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86"/>
      <c r="E216" s="886"/>
      <c r="F216" s="886"/>
      <c r="G216" s="886"/>
      <c r="H216" s="886"/>
      <c r="I216" s="887"/>
    </row>
    <row r="217" spans="1:9" ht="61.5" customHeight="1">
      <c r="A217" s="128" t="s">
        <v>181</v>
      </c>
      <c r="C217" s="885" t="str">
        <f>Translation!B217</f>
        <v>The calculation of the average luminance of the road surface should be carried out in accordance with CIE 140-2000.</v>
      </c>
      <c r="D217" s="886"/>
      <c r="E217" s="886"/>
      <c r="F217" s="886"/>
      <c r="G217" s="886"/>
      <c r="H217" s="886"/>
      <c r="I217" s="887"/>
    </row>
    <row r="218" spans="1:9">
      <c r="A218" s="128" t="s">
        <v>181</v>
      </c>
      <c r="C218" s="888" t="str">
        <f>Translation!B218</f>
        <v xml:space="preserve">Overall uniformity of Road Luminance (U0) </v>
      </c>
      <c r="D218" s="889"/>
      <c r="E218" s="889"/>
      <c r="F218" s="889"/>
      <c r="G218" s="889"/>
      <c r="H218" s="889"/>
      <c r="I218" s="890"/>
    </row>
    <row r="219" spans="1:9" ht="85.5" customHeight="1">
      <c r="A219" s="128" t="s">
        <v>181</v>
      </c>
      <c r="C219" s="913"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914"/>
      <c r="E219" s="914"/>
      <c r="F219" s="914"/>
      <c r="G219" s="914"/>
      <c r="H219" s="914"/>
      <c r="I219" s="915"/>
    </row>
    <row r="220" spans="1:9">
      <c r="A220" s="128" t="s">
        <v>181</v>
      </c>
      <c r="C220" s="888" t="str">
        <f>Translation!B220</f>
        <v xml:space="preserve">Longitudinal Uniformity of Road Surface Luminance (Ul): </v>
      </c>
      <c r="D220" s="889"/>
      <c r="E220" s="889"/>
      <c r="F220" s="889"/>
      <c r="G220" s="889"/>
      <c r="H220" s="889"/>
      <c r="I220" s="890"/>
    </row>
    <row r="221" spans="1:9" ht="105.75" customHeight="1">
      <c r="A221" s="128" t="s">
        <v>181</v>
      </c>
      <c r="C221" s="885"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86"/>
      <c r="E221" s="886"/>
      <c r="F221" s="886"/>
      <c r="G221" s="886"/>
      <c r="H221" s="886"/>
      <c r="I221" s="887"/>
    </row>
    <row r="222" spans="1:9">
      <c r="A222" s="128" t="s">
        <v>181</v>
      </c>
      <c r="C222" s="888" t="str">
        <f>Translation!B222</f>
        <v>Threshold Increment TI (fTI)</v>
      </c>
      <c r="D222" s="889"/>
      <c r="E222" s="889"/>
      <c r="F222" s="889"/>
      <c r="G222" s="889"/>
      <c r="H222" s="889"/>
      <c r="I222" s="890"/>
    </row>
    <row r="223" spans="1:9" ht="58.5" customHeight="1">
      <c r="A223" s="128" t="s">
        <v>181</v>
      </c>
      <c r="C223" s="885" t="str">
        <f>Translation!B223</f>
        <v>TI is a measure of the loss of visibility caused by the disability glare from the road lighting luminaires.  The formula from which it is calculated is given in CIE 140-2000.</v>
      </c>
      <c r="D223" s="886"/>
      <c r="E223" s="886"/>
      <c r="F223" s="886"/>
      <c r="G223" s="886"/>
      <c r="H223" s="886"/>
      <c r="I223" s="887"/>
    </row>
    <row r="224" spans="1:9">
      <c r="A224" s="128" t="s">
        <v>181</v>
      </c>
      <c r="C224" s="888" t="str">
        <f>Translation!B224</f>
        <v>Surround Ratio SR (Rs)</v>
      </c>
      <c r="D224" s="889"/>
      <c r="E224" s="889"/>
      <c r="F224" s="889"/>
      <c r="G224" s="889"/>
      <c r="H224" s="889"/>
      <c r="I224" s="890"/>
    </row>
    <row r="225" spans="1:9" ht="58.5" customHeight="1">
      <c r="A225" s="128" t="s">
        <v>181</v>
      </c>
      <c r="C225" s="885"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86"/>
      <c r="E225" s="886"/>
      <c r="F225" s="886"/>
      <c r="G225" s="886"/>
      <c r="H225" s="886"/>
      <c r="I225" s="887"/>
    </row>
    <row r="226" spans="1:9" ht="30.75" customHeight="1">
      <c r="A226" s="128" t="s">
        <v>181</v>
      </c>
      <c r="C226" s="882" t="str">
        <f>Translation!B226</f>
        <v>Surround ratio is defined in CIE 140-2000.</v>
      </c>
      <c r="D226" s="883"/>
      <c r="E226" s="883"/>
      <c r="F226" s="883"/>
      <c r="G226" s="883"/>
      <c r="H226" s="883"/>
      <c r="I226" s="884"/>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M56" zoomScale="85" zoomScaleNormal="85" workbookViewId="0">
      <selection activeCell="U79" sqref="U79"/>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42</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7"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7"/>
      <c r="D6" s="737"/>
      <c r="E6" s="737"/>
      <c r="F6" s="737"/>
      <c r="G6" s="737"/>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2" t="str">
        <f>Translation!B548</f>
        <v>Select one of the fixtures from the list below. To edit the fixture assumptions, find the fixture in the table below</v>
      </c>
      <c r="C14" s="922"/>
      <c r="E14" s="921" t="str">
        <f>Translation!B549</f>
        <v>Baseline Fixture Summary</v>
      </c>
      <c r="F14" s="921"/>
      <c r="G14" s="921"/>
    </row>
    <row r="15" spans="1:27" ht="27" customHeight="1">
      <c r="B15" s="923"/>
      <c r="C15" s="923"/>
    </row>
    <row r="16" spans="1:27" ht="18.75" customHeight="1">
      <c r="B16" s="299" t="str">
        <f>tBaseline</f>
        <v>Baseline</v>
      </c>
      <c r="C16" s="634"/>
      <c r="E16" s="530" t="str">
        <f>Translation!$B$111</f>
        <v>Fixture Name</v>
      </c>
      <c r="F16" s="532" t="str">
        <f>FixtureData!$B$18</f>
        <v>ATB2_60B_LED_E70_XXXXX_R2.ies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60B LED E70 XXXXX R2</v>
      </c>
    </row>
    <row r="20" spans="2:11" ht="21.75" customHeight="1">
      <c r="B20" s="638"/>
      <c r="C20" s="639"/>
      <c r="E20" s="530" t="str">
        <f>Translation!$B$230</f>
        <v>Distribution Type</v>
      </c>
      <c r="F20" s="532" t="str">
        <f>INDEX(FixtureDist,FixtureData!$C$18)</f>
        <v>TYPE 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tr">
        <f>Translation!B579</f>
        <v>Set installation cost to zero?</v>
      </c>
      <c r="C22" s="640"/>
      <c r="E22" s="530" t="str">
        <f>Translation!$B$102</f>
        <v>Watts</v>
      </c>
      <c r="F22" s="532">
        <f>FixtureData!G18</f>
        <v>134</v>
      </c>
    </row>
    <row r="23" spans="2:11" ht="18.75" customHeight="1">
      <c r="B23" s="36" t="s">
        <v>3340</v>
      </c>
      <c r="C23" s="527" t="str">
        <f>Translation!B395</f>
        <v>Fixture already installed (mark with 'x')</v>
      </c>
      <c r="E23" s="530" t="str">
        <f>Translation!$B$352</f>
        <v>Equipment Cost ($/fixture)</v>
      </c>
      <c r="F23" s="668">
        <f>FixtureData!K18</f>
        <v>0</v>
      </c>
    </row>
    <row r="24" spans="2:11" ht="24.75" customHeight="1">
      <c r="B24" s="917" t="str">
        <f>Translation!B394</f>
        <v xml:space="preserve">If the fixture is already installed, installation cost will be zero. Instead of editing this in the large table below, you can override the values for just the baseline fixture here. </v>
      </c>
      <c r="C24" s="918"/>
      <c r="E24" s="530" t="str">
        <f>Translation!$B$324</f>
        <v>Installation Cost ($/fixture)</v>
      </c>
      <c r="F24" s="668">
        <f>FixtureData!L18</f>
        <v>0</v>
      </c>
    </row>
    <row r="25" spans="2:11" ht="24.75" customHeight="1">
      <c r="B25" s="917"/>
      <c r="C25" s="918"/>
      <c r="E25" s="530" t="str">
        <f>Translation!$B$354</f>
        <v>One-time Rebate or Subsidy ($/fixture)</v>
      </c>
      <c r="F25" s="668">
        <f>FixtureData!M18</f>
        <v>0</v>
      </c>
      <c r="H25" s="641"/>
      <c r="I25" s="642"/>
      <c r="J25" s="643"/>
      <c r="K25" s="643"/>
    </row>
    <row r="26" spans="2:11" ht="24.75" customHeight="1">
      <c r="B26" s="919"/>
      <c r="C26" s="920"/>
      <c r="E26" s="531" t="str">
        <f>Translation!$B$356</f>
        <v>Annual Maintenance Cost ($/year)</v>
      </c>
      <c r="F26" s="668">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c r="U36" s="712" t="s">
        <v>3363</v>
      </c>
      <c r="V36" s="712" t="s">
        <v>3364</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c r="U37" s="694"/>
      <c r="V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c r="U38" s="272"/>
      <c r="V38" s="272"/>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c r="U39" s="696"/>
      <c r="V39" s="696"/>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c r="U40" s="696"/>
      <c r="V40" s="696"/>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c r="U41" s="696"/>
      <c r="V41" s="696"/>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c r="U42" s="696"/>
      <c r="V42" s="696"/>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c r="U43" s="696"/>
      <c r="V43" s="696"/>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c r="U44" s="696"/>
      <c r="V44" s="696"/>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c r="U45" s="696"/>
      <c r="V45" s="696"/>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c r="U46" s="696"/>
      <c r="V46" s="696"/>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c r="U47" s="696"/>
      <c r="V47" s="696"/>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c r="U48" s="696"/>
      <c r="V48" s="696"/>
    </row>
    <row r="49" spans="1:22">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c r="U49" s="696"/>
      <c r="V49" s="696"/>
    </row>
    <row r="50" spans="1:22">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c r="U50" s="696"/>
      <c r="V50" s="696"/>
    </row>
    <row r="51" spans="1:22">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c r="U51" s="696"/>
      <c r="V51" s="696"/>
    </row>
    <row r="52" spans="1:22">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c r="U52" s="696"/>
      <c r="V52" s="696"/>
    </row>
    <row r="53" spans="1:22">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c r="U53" s="696"/>
      <c r="V53" s="696"/>
    </row>
    <row r="54" spans="1:22">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c r="U54" s="696"/>
      <c r="V54" s="696"/>
    </row>
    <row r="55" spans="1:22">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c r="U55" s="696"/>
      <c r="V55" s="696"/>
    </row>
    <row r="56" spans="1:22">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c r="U56" s="696"/>
      <c r="V56" s="696"/>
    </row>
    <row r="57" spans="1:22">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c r="U57" s="696"/>
      <c r="V57" s="696"/>
    </row>
    <row r="58" spans="1:22">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c r="U58" s="696"/>
      <c r="V58" s="696"/>
    </row>
    <row r="59" spans="1:22">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c r="U59" s="696"/>
      <c r="V59" s="696"/>
    </row>
    <row r="60" spans="1:22">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c r="U60" s="696"/>
      <c r="V60" s="696"/>
    </row>
    <row r="61" spans="1:22">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c r="U61" s="696"/>
      <c r="V61" s="696"/>
    </row>
    <row r="62" spans="1:22">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c r="U62" s="696"/>
      <c r="V62" s="696"/>
    </row>
    <row r="63" spans="1:22">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c r="U63" s="696"/>
      <c r="V63" s="696"/>
    </row>
    <row r="64" spans="1:22">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c r="U64" s="696"/>
      <c r="V64" s="696"/>
    </row>
    <row r="65" spans="1:22">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c r="U65" s="696"/>
      <c r="V65" s="696"/>
    </row>
    <row r="66" spans="1:22">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c r="U66" s="696"/>
      <c r="V66" s="696"/>
    </row>
    <row r="67" spans="1:22">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c r="U67" s="696"/>
      <c r="V67" s="696"/>
    </row>
    <row r="68" spans="1:22">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c r="U68" s="696"/>
      <c r="V68" s="696"/>
    </row>
    <row r="69" spans="1:22">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c r="U69" s="696"/>
      <c r="V69" s="696"/>
    </row>
    <row r="70" spans="1:22">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c r="U70" s="696"/>
      <c r="V70" s="696"/>
    </row>
    <row r="71" spans="1:22">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c r="U71" s="696"/>
      <c r="V71" s="696"/>
    </row>
    <row r="72" spans="1:22">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c r="U72" s="696"/>
      <c r="V72" s="696"/>
    </row>
    <row r="73" spans="1:22">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c r="U73" s="696">
        <v>1</v>
      </c>
      <c r="V73" s="696">
        <v>30</v>
      </c>
    </row>
    <row r="74" spans="1:22">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10</v>
      </c>
      <c r="U74" s="696">
        <v>2</v>
      </c>
      <c r="V74" s="696">
        <v>30</v>
      </c>
    </row>
    <row r="75" spans="1:22">
      <c r="A75" s="349"/>
      <c r="B75" s="36"/>
      <c r="C75" s="647" t="s">
        <v>2777</v>
      </c>
      <c r="D75" s="648">
        <f t="shared" ref="D75" si="3">MATCH(C75,FxLib_names,0)-1</f>
        <v>1956</v>
      </c>
      <c r="E75" s="273" t="s">
        <v>3371</v>
      </c>
      <c r="F75" s="273" t="s">
        <v>65</v>
      </c>
      <c r="G75" s="273" t="s">
        <v>3372</v>
      </c>
      <c r="H75" s="273" t="s">
        <v>3373</v>
      </c>
      <c r="I75" s="295"/>
      <c r="J75" s="295">
        <v>34</v>
      </c>
      <c r="K75" s="667">
        <v>500</v>
      </c>
      <c r="L75" s="667">
        <v>100</v>
      </c>
      <c r="M75" s="667">
        <v>0</v>
      </c>
      <c r="N75" s="667">
        <v>25</v>
      </c>
      <c r="O75" s="283">
        <v>0.02</v>
      </c>
      <c r="P75" s="62">
        <v>0.7</v>
      </c>
      <c r="Q75" s="62">
        <v>0.88</v>
      </c>
      <c r="R75" s="62">
        <v>1</v>
      </c>
      <c r="S75" s="282">
        <f t="shared" ref="S75" si="4">Q75*P75*R75</f>
        <v>0.61599999999999999</v>
      </c>
      <c r="T75" s="696">
        <v>0</v>
      </c>
      <c r="U75" s="696">
        <v>1</v>
      </c>
      <c r="V75" s="696">
        <v>30</v>
      </c>
    </row>
    <row r="76" spans="1:22">
      <c r="A76" s="349"/>
      <c r="B76" s="36"/>
      <c r="C76" s="647" t="s">
        <v>3367</v>
      </c>
      <c r="D76" s="648">
        <f t="shared" ref="D76" si="5">MATCH(C76,FxLib_names,0)-1</f>
        <v>2003</v>
      </c>
      <c r="E76" s="273" t="s">
        <v>3371</v>
      </c>
      <c r="F76" s="273" t="s">
        <v>65</v>
      </c>
      <c r="G76" s="273" t="s">
        <v>3374</v>
      </c>
      <c r="H76" s="273" t="s">
        <v>3375</v>
      </c>
      <c r="I76" s="295"/>
      <c r="J76" s="295">
        <v>48</v>
      </c>
      <c r="K76" s="667">
        <v>500</v>
      </c>
      <c r="L76" s="667">
        <v>100</v>
      </c>
      <c r="M76" s="667">
        <v>0</v>
      </c>
      <c r="N76" s="667">
        <v>25</v>
      </c>
      <c r="O76" s="283">
        <v>0.02</v>
      </c>
      <c r="P76" s="62">
        <v>0.7</v>
      </c>
      <c r="Q76" s="62">
        <v>0.92</v>
      </c>
      <c r="R76" s="62">
        <v>1</v>
      </c>
      <c r="S76" s="282">
        <f t="shared" ref="S76" si="6">Q76*P76*R76</f>
        <v>0.64400000000000002</v>
      </c>
      <c r="T76" s="696">
        <v>0</v>
      </c>
      <c r="U76" s="696">
        <v>1</v>
      </c>
      <c r="V76" s="696">
        <v>30</v>
      </c>
    </row>
    <row r="77" spans="1:22">
      <c r="A77" s="349"/>
      <c r="B77" s="36"/>
      <c r="C77" s="647" t="s">
        <v>3339</v>
      </c>
      <c r="D77" s="648">
        <f t="shared" ref="D77" si="7">MATCH(C77,FxLib_names,0)-1</f>
        <v>2050</v>
      </c>
      <c r="E77" s="273" t="s">
        <v>3371</v>
      </c>
      <c r="F77" s="273" t="s">
        <v>65</v>
      </c>
      <c r="G77" s="273" t="s">
        <v>3376</v>
      </c>
      <c r="H77" s="273" t="s">
        <v>3377</v>
      </c>
      <c r="I77" s="295"/>
      <c r="J77" s="295">
        <v>91</v>
      </c>
      <c r="K77" s="667">
        <v>500</v>
      </c>
      <c r="L77" s="667">
        <v>100</v>
      </c>
      <c r="M77" s="667">
        <v>0</v>
      </c>
      <c r="N77" s="667">
        <v>25</v>
      </c>
      <c r="O77" s="283">
        <v>0.02</v>
      </c>
      <c r="P77" s="62">
        <v>0.75</v>
      </c>
      <c r="Q77" s="62">
        <v>0.92</v>
      </c>
      <c r="R77" s="62">
        <v>1</v>
      </c>
      <c r="S77" s="282">
        <f t="shared" ref="S77" si="8">Q77*P77*R77</f>
        <v>0.69000000000000006</v>
      </c>
      <c r="T77" s="696">
        <v>0</v>
      </c>
      <c r="U77" s="696">
        <v>1</v>
      </c>
      <c r="V77" s="696">
        <v>30</v>
      </c>
    </row>
    <row r="78" spans="1:22">
      <c r="A78" s="349"/>
      <c r="B78" s="36" t="s">
        <v>3340</v>
      </c>
      <c r="C78" s="647" t="s">
        <v>3370</v>
      </c>
      <c r="D78" s="648">
        <f t="shared" ref="D78" si="9">MATCH(C78,FxLib_names,0)-1</f>
        <v>2097</v>
      </c>
      <c r="E78" s="273" t="s">
        <v>3371</v>
      </c>
      <c r="F78" s="273" t="s">
        <v>65</v>
      </c>
      <c r="G78" s="273" t="s">
        <v>3378</v>
      </c>
      <c r="H78" s="273" t="s">
        <v>3379</v>
      </c>
      <c r="I78" s="295"/>
      <c r="J78" s="295">
        <v>134</v>
      </c>
      <c r="K78" s="667">
        <v>500</v>
      </c>
      <c r="L78" s="667">
        <v>100</v>
      </c>
      <c r="M78" s="667">
        <v>0</v>
      </c>
      <c r="N78" s="667">
        <v>25</v>
      </c>
      <c r="O78" s="283">
        <v>0.02</v>
      </c>
      <c r="P78" s="62">
        <v>0.75</v>
      </c>
      <c r="Q78" s="62">
        <v>0.88</v>
      </c>
      <c r="R78" s="62">
        <v>1</v>
      </c>
      <c r="S78" s="282">
        <f t="shared" ref="S78" si="10">Q78*P78*R78</f>
        <v>0.66</v>
      </c>
      <c r="T78" s="696">
        <v>0</v>
      </c>
      <c r="U78" s="696">
        <v>2</v>
      </c>
      <c r="V78" s="696">
        <v>30</v>
      </c>
    </row>
  </sheetData>
  <sheetProtection sheet="1" objects="1" scenarios="1"/>
  <mergeCells count="4">
    <mergeCell ref="B6:G6"/>
    <mergeCell ref="B24:C26"/>
    <mergeCell ref="E14:G14"/>
    <mergeCell ref="B14:C15"/>
  </mergeCells>
  <conditionalFormatting sqref="C38:H74">
    <cfRule type="expression" dxfId="58" priority="2688" stopIfTrue="1">
      <formula>$B38="x"</formula>
    </cfRule>
  </conditionalFormatting>
  <conditionalFormatting sqref="K39:K74">
    <cfRule type="expression" dxfId="57" priority="1439" stopIfTrue="1">
      <formula>K39&lt;&gt;IF(F39="LED",LEDcost,IF(F39="HPS",HPScost,MHcost))</formula>
    </cfRule>
  </conditionalFormatting>
  <conditionalFormatting sqref="L39:L74">
    <cfRule type="expression" dxfId="56" priority="1438" stopIfTrue="1">
      <formula>L39&lt;&gt;IF($F39="LED",LEDinstcost,IF(OR($F39="HPS",$F39="SAP",$F39="SHP"),HPSinstcost,MHinstcost))</formula>
    </cfRule>
  </conditionalFormatting>
  <conditionalFormatting sqref="N39:N41 N43:N74">
    <cfRule type="expression" dxfId="55" priority="1436" stopIfTrue="1">
      <formula>N39&lt;&gt;IF($F39="LED",LEDmaintcost,IF($F39="HPS",HPSmaintcost,MHmaintcost))</formula>
    </cfRule>
  </conditionalFormatting>
  <conditionalFormatting sqref="O39:O41 O43:O74">
    <cfRule type="expression" dxfId="54" priority="1435" stopIfTrue="1">
      <formula>O39&lt;&gt;IF($F39="LED",LEDmaintinflate,IF($F39="HPS",HPSmaintinflate,MHmaintinflate))</formula>
    </cfRule>
  </conditionalFormatting>
  <conditionalFormatting sqref="P39:P74">
    <cfRule type="expression" dxfId="53" priority="1434" stopIfTrue="1">
      <formula>P39&lt;&gt;IF($F39="LED",LEDLLD,IF($F39="HPS",HPSLLD,MHLLD))</formula>
    </cfRule>
  </conditionalFormatting>
  <conditionalFormatting sqref="Q39:Q74">
    <cfRule type="expression" dxfId="52" priority="1433" stopIfTrue="1">
      <formula>Q39&lt;&gt;IF($F39="LED",LEDDD,IF($F39="HPS",HPSDD,MHDD))</formula>
    </cfRule>
  </conditionalFormatting>
  <conditionalFormatting sqref="R39:R74">
    <cfRule type="expression" dxfId="51" priority="1432" stopIfTrue="1">
      <formula>R39&lt;&gt;IF($F39="LED",LEDBF,IF($F39="HPS",HPSBF,MHBF))</formula>
    </cfRule>
  </conditionalFormatting>
  <conditionalFormatting sqref="N42">
    <cfRule type="expression" dxfId="50" priority="630" stopIfTrue="1">
      <formula>N42&lt;&gt;IF($F42="LED",LEDmaintcost,IF($F42="HPS",HPSmaintcost,MHmaintcost))</formula>
    </cfRule>
  </conditionalFormatting>
  <conditionalFormatting sqref="O42">
    <cfRule type="expression" dxfId="49" priority="629" stopIfTrue="1">
      <formula>O42&lt;&gt;IF($F42="LED",LEDmaintinflate,IF($F42="HPS",HPSmaintinflate,MHmaintinflate))</formula>
    </cfRule>
  </conditionalFormatting>
  <conditionalFormatting sqref="T39:T74">
    <cfRule type="expression" dxfId="48" priority="190" stopIfTrue="1">
      <formula>T39&lt;&gt;0</formula>
    </cfRule>
  </conditionalFormatting>
  <conditionalFormatting sqref="U39:V74">
    <cfRule type="expression" dxfId="47" priority="41" stopIfTrue="1">
      <formula>U39&lt;&gt;0</formula>
    </cfRule>
  </conditionalFormatting>
  <conditionalFormatting sqref="C75:H75">
    <cfRule type="expression" dxfId="39" priority="40" stopIfTrue="1">
      <formula>$B75="x"</formula>
    </cfRule>
  </conditionalFormatting>
  <conditionalFormatting sqref="K75">
    <cfRule type="expression" dxfId="38" priority="39" stopIfTrue="1">
      <formula>K75&lt;&gt;IF(F75="LED",LEDcost,IF(F75="HPS",HPScost,MHcost))</formula>
    </cfRule>
  </conditionalFormatting>
  <conditionalFormatting sqref="L75">
    <cfRule type="expression" dxfId="37" priority="38" stopIfTrue="1">
      <formula>L75&lt;&gt;IF($F75="LED",LEDinstcost,IF(OR($F75="HPS",$F75="SAP",$F75="SHP"),HPSinstcost,MHinstcost))</formula>
    </cfRule>
  </conditionalFormatting>
  <conditionalFormatting sqref="N75">
    <cfRule type="expression" dxfId="36" priority="37" stopIfTrue="1">
      <formula>N75&lt;&gt;IF($F75="LED",LEDmaintcost,IF($F75="HPS",HPSmaintcost,MHmaintcost))</formula>
    </cfRule>
  </conditionalFormatting>
  <conditionalFormatting sqref="O75">
    <cfRule type="expression" dxfId="35" priority="36" stopIfTrue="1">
      <formula>O75&lt;&gt;IF($F75="LED",LEDmaintinflate,IF($F75="HPS",HPSmaintinflate,MHmaintinflate))</formula>
    </cfRule>
  </conditionalFormatting>
  <conditionalFormatting sqref="P75">
    <cfRule type="expression" dxfId="34" priority="35" stopIfTrue="1">
      <formula>P75&lt;&gt;IF($F75="LED",LEDLLD,IF($F75="HPS",HPSLLD,MHLLD))</formula>
    </cfRule>
  </conditionalFormatting>
  <conditionalFormatting sqref="Q75">
    <cfRule type="expression" dxfId="33" priority="34" stopIfTrue="1">
      <formula>Q75&lt;&gt;IF($F75="LED",LEDDD,IF($F75="HPS",HPSDD,MHDD))</formula>
    </cfRule>
  </conditionalFormatting>
  <conditionalFormatting sqref="R75">
    <cfRule type="expression" dxfId="32" priority="33" stopIfTrue="1">
      <formula>R75&lt;&gt;IF($F75="LED",LEDBF,IF($F75="HPS",HPSBF,MHBF))</formula>
    </cfRule>
  </conditionalFormatting>
  <conditionalFormatting sqref="T75">
    <cfRule type="expression" dxfId="31" priority="32" stopIfTrue="1">
      <formula>T75&lt;&gt;0</formula>
    </cfRule>
  </conditionalFormatting>
  <conditionalFormatting sqref="U75:V75">
    <cfRule type="expression" dxfId="30" priority="31" stopIfTrue="1">
      <formula>U75&lt;&gt;0</formula>
    </cfRule>
  </conditionalFormatting>
  <conditionalFormatting sqref="C76:H76">
    <cfRule type="expression" dxfId="29" priority="30" stopIfTrue="1">
      <formula>$B76="x"</formula>
    </cfRule>
  </conditionalFormatting>
  <conditionalFormatting sqref="K76">
    <cfRule type="expression" dxfId="28" priority="29" stopIfTrue="1">
      <formula>K76&lt;&gt;IF(F76="LED",LEDcost,IF(F76="HPS",HPScost,MHcost))</formula>
    </cfRule>
  </conditionalFormatting>
  <conditionalFormatting sqref="L76">
    <cfRule type="expression" dxfId="27" priority="28" stopIfTrue="1">
      <formula>L76&lt;&gt;IF($F76="LED",LEDinstcost,IF(OR($F76="HPS",$F76="SAP",$F76="SHP"),HPSinstcost,MHinstcost))</formula>
    </cfRule>
  </conditionalFormatting>
  <conditionalFormatting sqref="N76">
    <cfRule type="expression" dxfId="26" priority="27" stopIfTrue="1">
      <formula>N76&lt;&gt;IF($F76="LED",LEDmaintcost,IF($F76="HPS",HPSmaintcost,MHmaintcost))</formula>
    </cfRule>
  </conditionalFormatting>
  <conditionalFormatting sqref="O76">
    <cfRule type="expression" dxfId="25" priority="26" stopIfTrue="1">
      <formula>O76&lt;&gt;IF($F76="LED",LEDmaintinflate,IF($F76="HPS",HPSmaintinflate,MHmaintinflate))</formula>
    </cfRule>
  </conditionalFormatting>
  <conditionalFormatting sqref="P76">
    <cfRule type="expression" dxfId="24" priority="25" stopIfTrue="1">
      <formula>P76&lt;&gt;IF($F76="LED",LEDLLD,IF($F76="HPS",HPSLLD,MHLLD))</formula>
    </cfRule>
  </conditionalFormatting>
  <conditionalFormatting sqref="Q76">
    <cfRule type="expression" dxfId="23" priority="24" stopIfTrue="1">
      <formula>Q76&lt;&gt;IF($F76="LED",LEDDD,IF($F76="HPS",HPSDD,MHDD))</formula>
    </cfRule>
  </conditionalFormatting>
  <conditionalFormatting sqref="R76">
    <cfRule type="expression" dxfId="22" priority="23" stopIfTrue="1">
      <formula>R76&lt;&gt;IF($F76="LED",LEDBF,IF($F76="HPS",HPSBF,MHBF))</formula>
    </cfRule>
  </conditionalFormatting>
  <conditionalFormatting sqref="T76">
    <cfRule type="expression" dxfId="21" priority="22" stopIfTrue="1">
      <formula>T76&lt;&gt;0</formula>
    </cfRule>
  </conditionalFormatting>
  <conditionalFormatting sqref="U76:V76">
    <cfRule type="expression" dxfId="20" priority="21" stopIfTrue="1">
      <formula>U76&lt;&gt;0</formula>
    </cfRule>
  </conditionalFormatting>
  <conditionalFormatting sqref="C77:H77">
    <cfRule type="expression" dxfId="19" priority="20" stopIfTrue="1">
      <formula>$B77="x"</formula>
    </cfRule>
  </conditionalFormatting>
  <conditionalFormatting sqref="K77">
    <cfRule type="expression" dxfId="18" priority="19" stopIfTrue="1">
      <formula>K77&lt;&gt;IF(F77="LED",LEDcost,IF(F77="HPS",HPScost,MHcost))</formula>
    </cfRule>
  </conditionalFormatting>
  <conditionalFormatting sqref="L77">
    <cfRule type="expression" dxfId="17" priority="18" stopIfTrue="1">
      <formula>L77&lt;&gt;IF($F77="LED",LEDinstcost,IF(OR($F77="HPS",$F77="SAP",$F77="SHP"),HPSinstcost,MHinstcost))</formula>
    </cfRule>
  </conditionalFormatting>
  <conditionalFormatting sqref="N77">
    <cfRule type="expression" dxfId="16" priority="17" stopIfTrue="1">
      <formula>N77&lt;&gt;IF($F77="LED",LEDmaintcost,IF($F77="HPS",HPSmaintcost,MHmaintcost))</formula>
    </cfRule>
  </conditionalFormatting>
  <conditionalFormatting sqref="O77">
    <cfRule type="expression" dxfId="15" priority="16" stopIfTrue="1">
      <formula>O77&lt;&gt;IF($F77="LED",LEDmaintinflate,IF($F77="HPS",HPSmaintinflate,MHmaintinflate))</formula>
    </cfRule>
  </conditionalFormatting>
  <conditionalFormatting sqref="P77">
    <cfRule type="expression" dxfId="14" priority="15" stopIfTrue="1">
      <formula>P77&lt;&gt;IF($F77="LED",LEDLLD,IF($F77="HPS",HPSLLD,MHLLD))</formula>
    </cfRule>
  </conditionalFormatting>
  <conditionalFormatting sqref="Q77">
    <cfRule type="expression" dxfId="13" priority="14" stopIfTrue="1">
      <formula>Q77&lt;&gt;IF($F77="LED",LEDDD,IF($F77="HPS",HPSDD,MHDD))</formula>
    </cfRule>
  </conditionalFormatting>
  <conditionalFormatting sqref="R77">
    <cfRule type="expression" dxfId="12" priority="13" stopIfTrue="1">
      <formula>R77&lt;&gt;IF($F77="LED",LEDBF,IF($F77="HPS",HPSBF,MHBF))</formula>
    </cfRule>
  </conditionalFormatting>
  <conditionalFormatting sqref="T77">
    <cfRule type="expression" dxfId="11" priority="12" stopIfTrue="1">
      <formula>T77&lt;&gt;0</formula>
    </cfRule>
  </conditionalFormatting>
  <conditionalFormatting sqref="U77:V77">
    <cfRule type="expression" dxfId="10" priority="11" stopIfTrue="1">
      <formula>U77&lt;&gt;0</formula>
    </cfRule>
  </conditionalFormatting>
  <conditionalFormatting sqref="C78:H78">
    <cfRule type="expression" dxfId="9" priority="10" stopIfTrue="1">
      <formula>$B78="x"</formula>
    </cfRule>
  </conditionalFormatting>
  <conditionalFormatting sqref="K78">
    <cfRule type="expression" dxfId="8" priority="9" stopIfTrue="1">
      <formula>K78&lt;&gt;IF(F78="LED",LEDcost,IF(F78="HPS",HPScost,MHcost))</formula>
    </cfRule>
  </conditionalFormatting>
  <conditionalFormatting sqref="L78">
    <cfRule type="expression" dxfId="7" priority="8" stopIfTrue="1">
      <formula>L78&lt;&gt;IF($F78="LED",LEDinstcost,IF(OR($F78="HPS",$F78="SAP",$F78="SHP"),HPSinstcost,MHinstcost))</formula>
    </cfRule>
  </conditionalFormatting>
  <conditionalFormatting sqref="N78">
    <cfRule type="expression" dxfId="6" priority="7" stopIfTrue="1">
      <formula>N78&lt;&gt;IF($F78="LED",LEDmaintcost,IF($F78="HPS",HPSmaintcost,MHmaintcost))</formula>
    </cfRule>
  </conditionalFormatting>
  <conditionalFormatting sqref="O78">
    <cfRule type="expression" dxfId="5" priority="6" stopIfTrue="1">
      <formula>O78&lt;&gt;IF($F78="LED",LEDmaintinflate,IF($F78="HPS",HPSmaintinflate,MHmaintinflate))</formula>
    </cfRule>
  </conditionalFormatting>
  <conditionalFormatting sqref="P78">
    <cfRule type="expression" dxfId="4" priority="5" stopIfTrue="1">
      <formula>P78&lt;&gt;IF($F78="LED",LEDLLD,IF($F78="HPS",HPSLLD,MHLLD))</formula>
    </cfRule>
  </conditionalFormatting>
  <conditionalFormatting sqref="Q78">
    <cfRule type="expression" dxfId="3" priority="4" stopIfTrue="1">
      <formula>Q78&lt;&gt;IF($F78="LED",LEDDD,IF($F78="HPS",HPSDD,MHDD))</formula>
    </cfRule>
  </conditionalFormatting>
  <conditionalFormatting sqref="R78">
    <cfRule type="expression" dxfId="2" priority="3" stopIfTrue="1">
      <formula>R78&lt;&gt;IF($F78="LED",LEDBF,IF($F78="HPS",HPSBF,MHBF))</formula>
    </cfRule>
  </conditionalFormatting>
  <conditionalFormatting sqref="T78">
    <cfRule type="expression" dxfId="1" priority="2" stopIfTrue="1">
      <formula>T78&lt;&gt;0</formula>
    </cfRule>
  </conditionalFormatting>
  <conditionalFormatting sqref="U78:V78">
    <cfRule type="expression" dxfId="0" priority="1" stopIfTrue="1">
      <formula>U78&lt;&gt;0</formula>
    </cfRule>
  </conditionalFormatting>
  <dataValidations count="1">
    <dataValidation type="list" allowBlank="1" showInputMessage="1" showErrorMessage="1" sqref="U38:U78">
      <formula1>"1,2"</formula1>
    </dataValidation>
  </dataValidations>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7"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7"/>
      <c r="D7" s="737"/>
      <c r="E7" s="737"/>
      <c r="F7" s="737"/>
      <c r="G7" s="737"/>
      <c r="H7" s="737"/>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4"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4"/>
      <c r="D14" s="924"/>
      <c r="E14" s="924"/>
      <c r="F14" s="924"/>
      <c r="G14" s="924"/>
      <c r="H14" s="924"/>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ATB2_60B_LED_E70_XXXXX_R2.ies</v>
      </c>
      <c r="C17" s="588">
        <f ca="1">FixtureData!G18</f>
        <v>134</v>
      </c>
      <c r="D17" s="670">
        <f>FixtureData!K18</f>
        <v>0</v>
      </c>
      <c r="E17" s="670">
        <f>FixtureData!L18</f>
        <v>0</v>
      </c>
      <c r="F17" s="670">
        <f>FixtureData!M18</f>
        <v>0</v>
      </c>
      <c r="G17" s="670">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ATB2_60B_LED_E70_XXXXX_R2.ies</v>
      </c>
      <c r="C18" s="591">
        <f t="array" aca="1" ref="C18" ca="1">IFERROR(
 INDEX(FixtureWatts,
  SMALL(
   IF(
    FixtureInclude="x",
    ROW(FixtureWatts)-ROW(Fixtures!$B$36)
   ),
   ROWS(C$17:C17)
  )
 ),"")</f>
        <v>134</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46" priority="2" stopIfTrue="1" operator="notEqual">
      <formula>""</formula>
    </cfRule>
  </conditionalFormatting>
  <conditionalFormatting sqref="A18:A142">
    <cfRule type="expression" dxfId="45"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4" workbookViewId="0">
      <selection activeCell="B16" sqref="B16"/>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4" t="str">
        <f>Translation!$B$544</f>
        <v>Review the inputs below to make sure you have entered all necessary values and the assumptions accurately reflect your road and fixtures.</v>
      </c>
      <c r="C7" s="924"/>
      <c r="D7" s="924"/>
      <c r="E7" s="924"/>
      <c r="F7" s="924"/>
      <c r="G7" s="924"/>
      <c r="H7" s="924"/>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6</v>
      </c>
      <c r="D22" s="566">
        <f>'Road Geometry'!D10</f>
        <v>6</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2</v>
      </c>
      <c r="D24" s="566">
        <f>'Road Geometry'!D12</f>
        <v>2</v>
      </c>
      <c r="E24" s="566"/>
      <c r="F24" s="566"/>
      <c r="G24" s="566"/>
      <c r="H24" s="566"/>
    </row>
    <row r="25" spans="1:112">
      <c r="B25" s="565" t="str">
        <f>'Road Geometry'!B16</f>
        <v>Pole Placement</v>
      </c>
      <c r="C25" s="566" t="str">
        <f>'Road Geometry'!C16</f>
        <v>Median mounted</v>
      </c>
      <c r="D25" s="566" t="str">
        <f>'Road Geometry'!D16</f>
        <v>Median mounted</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2</v>
      </c>
      <c r="D29" s="566">
        <f>'Road Geometry'!D20</f>
        <v>2</v>
      </c>
      <c r="E29" s="566"/>
      <c r="F29" s="566"/>
      <c r="G29" s="566"/>
      <c r="H29" s="566"/>
    </row>
    <row r="30" spans="1:112" s="570" customFormat="1">
      <c r="A30" s="567"/>
      <c r="B30" s="568" t="str">
        <f>'Road Geometry'!B24</f>
        <v>Road Surface Type</v>
      </c>
      <c r="C30" s="569" t="str">
        <f>'Road Geometry'!C24</f>
        <v>R4</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3</v>
      </c>
      <c r="D36" s="573">
        <f t="shared" si="0"/>
        <v>3</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ATB2_60B_LED_E70_XXXXX_R2.ies</v>
      </c>
      <c r="D56" s="566" t="str">
        <f t="array" aca="1" ref="D56" ca="1">IFERROR(
 INDEX(FixtureNames,
  SMALL(
   IF(
    FixtureInclude="x",
    ROW(FixtureNames)-ROW(Fixtures!$B$36)
   ),
   COLUMNS($D56:D56)
  )
 ),"")</f>
        <v>ATB2_60B_LED_E70_XXXXX_R2.ies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60B LED E70 XXXXX R2</v>
      </c>
      <c r="D59" s="566" t="str">
        <f t="array" aca="1" ref="D59" ca="1">IFERROR(
 INDEX(FixtureModel,
  SMALL(
   IF(
    FixtureInclude="x",
    ROW(FixtureModel)-ROW(Fixtures!$B$36)
   ),
   COLUMNS($D59:D59)
  )
 ),"")</f>
        <v>ATB2 60B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 MEDIUM, BUG RATING: B2 - U0 - G3</v>
      </c>
      <c r="D60" s="566" t="str">
        <f t="array" aca="1" ref="D60" ca="1">IFERROR(
 INDEX(FixtureDist,
  SMALL(
   IF(
    FixtureInclude="x",
    ROW(FixtureDist)-ROW(Fixtures!$B$36)
   ),
   COLUMNS($D60:D60)
  )
 ),"")</f>
        <v>TYPE 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134</v>
      </c>
      <c r="D62" s="566">
        <f t="array" aca="1" ref="D62" ca="1">IFERROR(
 INDEX(FixtureWatts,
  SMALL(
   IF(
    FixtureInclude="x",
    ROW(FixtureWatts)-ROW(Fixtures!$B$36)
   ),
   COLUMNS($D62:D62)
  )
 ),"")</f>
        <v>134</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f t="array" aca="1" ref="D63" ca="1">IFERROR(
 INDEX(FixtureEqCosts,
  SMALL(
   IF(
    FixtureInclude="x",
    ROW(FixtureEqCosts)-ROW(Fixtures!$B$36)
   ),
   COLUMNS($D63:D63)
  )
 ),"")</f>
        <v>500</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f t="array" aca="1" ref="D64" ca="1">IFERROR(
 INDEX(FixtureInstCosts,
  SMALL(
   IF(
    FixtureInclude="x",
    ROW(FixtureInstCosts)-ROW(Fixtures!$B$36)
   ),
   COLUMNS($D64:D64)
  )
 ),"")</f>
        <v>100</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f t="array" aca="1" ref="D65" ca="1">IFERROR(
 INDEX(FixtureRebCosts,
  SMALL(
   IF(
    FixtureInclude="x",
    ROW(FixtureRebCosts)-ROW(Fixtures!$B$36)
   ),
   COLUMNS($D65:D65)
  )
 ),"")</f>
        <v>0</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25</v>
      </c>
      <c r="D66" s="671">
        <f t="array" aca="1" ref="D66" ca="1">IFERROR(
 INDEX(FixtureMaintCosts,
  SMALL(
   IF(
    FixtureInclude="x",
    ROW(FixtureMaintCosts)-ROW(Fixtures!$B$36)
   ),
   COLUMNS($D66:D66)
  )
 ),"")</f>
        <v>25</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0.66</v>
      </c>
      <c r="D68" s="585">
        <f t="array" aca="1" ref="D68" ca="1">IFERROR(
 INDEX(FixtureLOM,
  SMALL(
   IF(
    FixtureInclude="x",
    ROW(FixtureLOM)-ROW(Fixtures!$B$36)
   ),
   COLUMNS($D68:D68)
  )
 ),"")</f>
        <v>0.66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44"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D7" workbookViewId="0">
      <selection activeCell="A32" sqref="A32"/>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739" t="str">
        <f>Translation!B365</f>
        <v>IES files describe the light output of a fixture. You can obtain them from fixture manufacturers</v>
      </c>
      <c r="B3" s="739"/>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25" t="str">
        <f>Translation!B512</f>
        <v>Required Inputs</v>
      </c>
      <c r="B15" s="926"/>
      <c r="C15" s="927"/>
      <c r="D15" s="928" t="str">
        <f>Translation!B505</f>
        <v>Optional Inputs</v>
      </c>
      <c r="E15" s="929"/>
      <c r="F15" s="929"/>
      <c r="G15" s="929"/>
      <c r="H15" s="929"/>
      <c r="I15" s="929"/>
      <c r="J15" s="929"/>
      <c r="K15" s="929"/>
      <c r="L15" s="930"/>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t="s">
        <v>3365</v>
      </c>
      <c r="B21" s="256" t="s">
        <v>2777</v>
      </c>
      <c r="C21" s="363" t="s">
        <v>65</v>
      </c>
      <c r="I21" s="493">
        <v>0.7</v>
      </c>
      <c r="J21" s="493">
        <v>0.88</v>
      </c>
      <c r="L21" s="493">
        <v>0</v>
      </c>
    </row>
    <row r="22" spans="1:13">
      <c r="A22" s="364" t="s">
        <v>3366</v>
      </c>
      <c r="B22" s="256" t="s">
        <v>3367</v>
      </c>
      <c r="C22" s="363" t="s">
        <v>65</v>
      </c>
      <c r="I22" s="493">
        <v>0.7</v>
      </c>
      <c r="J22" s="493">
        <v>0.92</v>
      </c>
      <c r="L22" s="493">
        <v>0</v>
      </c>
    </row>
    <row r="23" spans="1:13">
      <c r="A23" s="364" t="s">
        <v>3368</v>
      </c>
      <c r="B23" s="256" t="s">
        <v>3339</v>
      </c>
      <c r="C23" s="363" t="s">
        <v>65</v>
      </c>
      <c r="I23" s="493">
        <v>0.75</v>
      </c>
      <c r="J23" s="493">
        <v>0.92</v>
      </c>
      <c r="L23" s="493">
        <v>0</v>
      </c>
    </row>
    <row r="24" spans="1:13">
      <c r="A24" s="364" t="s">
        <v>3369</v>
      </c>
      <c r="B24" s="256" t="s">
        <v>3370</v>
      </c>
      <c r="C24" s="363" t="s">
        <v>65</v>
      </c>
      <c r="I24" s="493">
        <v>0.75</v>
      </c>
      <c r="J24" s="493">
        <v>0.88</v>
      </c>
      <c r="L24" s="493">
        <v>0</v>
      </c>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43" priority="27" stopIfTrue="1">
      <formula>COUNTIF(A:A,A1)&gt;1</formula>
    </cfRule>
  </conditionalFormatting>
  <conditionalFormatting sqref="B25:B28">
    <cfRule type="expression" dxfId="42" priority="19" stopIfTrue="1">
      <formula>COUNTIF(B:B,B25)&gt;1</formula>
    </cfRule>
  </conditionalFormatting>
  <conditionalFormatting sqref="B29:B32">
    <cfRule type="expression" dxfId="41" priority="18" stopIfTrue="1">
      <formula>COUNTIF(B:B,B29)&gt;1</formula>
    </cfRule>
  </conditionalFormatting>
  <conditionalFormatting sqref="B33:B36">
    <cfRule type="expression" dxfId="40"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7" zoomScaleNormal="100" workbookViewId="0">
      <selection activeCell="W21" sqref="W21"/>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0</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str">
        <f ca="1">FxLib_Selectedfixture</f>
        <v>ATB2_60B_LED_E70_XXXXX_R2.ies</v>
      </c>
      <c r="D3" s="27" t="str">
        <f ca="1">FixtureData!B9</f>
        <v>LED</v>
      </c>
      <c r="E3" s="27">
        <f ca="1">FixtureData!G6</f>
        <v>134</v>
      </c>
      <c r="F3" s="89">
        <f ca="1">FixtureData!I6</f>
        <v>0</v>
      </c>
      <c r="G3" s="89">
        <f ca="1">FixtureData!J6</f>
        <v>0</v>
      </c>
      <c r="H3" s="384" t="e">
        <f>'Illuminance Calcs'!$C$4</f>
        <v>#DIV/0!</v>
      </c>
      <c r="I3" s="384">
        <f>'Illuminance Calcs'!$C$5</f>
        <v>0</v>
      </c>
      <c r="J3" s="384">
        <f>'Illuminance Calcs'!$C$6</f>
        <v>0</v>
      </c>
      <c r="K3" s="384">
        <f>'Illuminance Calcs'!$C$7</f>
        <v>0</v>
      </c>
      <c r="L3" s="306">
        <f>IF(FixtureData!$B$23="IES",'Lighting Standards'!$D$12,'Lighting Standards'!$H$12)</f>
        <v>6</v>
      </c>
      <c r="M3" s="384">
        <f>IF(FixtureData!$B$23="IES",'Lighting Standards'!$D$13,'Lighting Standards'!$H$13)</f>
        <v>3</v>
      </c>
      <c r="N3" s="82"/>
      <c r="O3" s="82"/>
      <c r="P3" s="28" t="e">
        <f>IF(iescieGraphChoice="IES",IF(AND(H3&gt;L3,K3&lt;M3),1,0),IF(AND(H3&gt;L3,K3&gt;M3),1,0))</f>
        <v>#DIV/0!</v>
      </c>
      <c r="Q3" s="82" t="e">
        <f>'Luminance Calcs'!$C$4</f>
        <v>#DIV/0!</v>
      </c>
      <c r="R3" s="384">
        <f>'Luminance Calcs'!$C$5</f>
        <v>0</v>
      </c>
      <c r="S3" s="384">
        <f>'Luminance Calcs'!$C$6</f>
        <v>0</v>
      </c>
      <c r="T3" s="384">
        <f>'Luminance Calcs'!$C$7</f>
        <v>0</v>
      </c>
      <c r="U3" s="384">
        <f>'Luminance Calcs'!$C$8</f>
        <v>0</v>
      </c>
      <c r="V3" s="28">
        <f>IF(FixtureData!$B$23="IES",'Lighting Standards'!$D$19,'Lighting Standards'!$H$19)</f>
        <v>0</v>
      </c>
      <c r="W3" s="29">
        <f>IF(FixtureData!$B$23="IES",'Lighting Standards'!$D$20,'Lighting Standards'!$H$20)</f>
        <v>0</v>
      </c>
      <c r="X3" s="29">
        <f>IF(FixtureData!$B$23="IES",'Lighting Standards'!$D$21,'Lighting Standards'!$H$21)</f>
        <v>0</v>
      </c>
      <c r="Y3" s="28" t="e">
        <f>IF(iescieGraphChoice="IES",IF(AND(Q3&gt;V3,T3&lt;W3,U3&lt;X3),1,0),IF(AND(Q3&gt;V3,T3&gt;W3,U3&gt;X3),1,0))</f>
        <v>#DIV/0!</v>
      </c>
      <c r="Z3" s="672">
        <f>CostCalcs!C46</f>
        <v>0</v>
      </c>
      <c r="AA3" s="672">
        <f ca="1">CostCalcs!C47</f>
        <v>25</v>
      </c>
      <c r="AB3" s="673"/>
      <c r="AC3" s="673"/>
      <c r="AD3" s="673"/>
      <c r="AE3" s="672">
        <f>CostCalcs!I23</f>
        <v>0</v>
      </c>
      <c r="AF3" s="672">
        <f ca="1">CostCalcs!I24</f>
        <v>25.5</v>
      </c>
      <c r="AG3" s="672">
        <f ca="1">CostCalcs!I25</f>
        <v>51.51</v>
      </c>
      <c r="AH3" s="672">
        <f ca="1">CostCalcs!I26</f>
        <v>78.040199999999999</v>
      </c>
      <c r="AI3" s="672">
        <f ca="1">CostCalcs!I27</f>
        <v>105.101004</v>
      </c>
      <c r="AJ3" s="672">
        <f ca="1">CostCalcs!I28</f>
        <v>132.70302408000001</v>
      </c>
      <c r="AK3" s="672">
        <f ca="1">CostCalcs!I29</f>
        <v>160.8570845616</v>
      </c>
      <c r="AL3" s="672">
        <f ca="1">CostCalcs!I30</f>
        <v>189.57422625283201</v>
      </c>
      <c r="AM3" s="672">
        <f ca="1">CostCalcs!I31</f>
        <v>218.86571077788864</v>
      </c>
      <c r="AN3" s="672">
        <f ca="1">CostCalcs!I32</f>
        <v>248.7430249934464</v>
      </c>
      <c r="AO3" s="672">
        <f ca="1">CostCalcs!I33</f>
        <v>279.21788549331535</v>
      </c>
      <c r="AP3" s="672">
        <f ca="1">CostCalcs!I34</f>
        <v>310.30224320318166</v>
      </c>
      <c r="AQ3" s="672">
        <f ca="1">CostCalcs!I35</f>
        <v>342.0082880672453</v>
      </c>
      <c r="AR3" s="672">
        <f ca="1">CostCalcs!I36</f>
        <v>374.34845382859021</v>
      </c>
      <c r="AS3" s="672">
        <f ca="1">CostCalcs!I37</f>
        <v>407.33542290516203</v>
      </c>
      <c r="AT3" s="672">
        <f ca="1">CostCalcs!I38</f>
        <v>440.98213136326524</v>
      </c>
      <c r="AU3" s="672">
        <f ca="1">CostCalcs!I39</f>
        <v>475.30177399053053</v>
      </c>
      <c r="AV3" s="672">
        <f ca="1">CostCalcs!I40</f>
        <v>510.30780947034117</v>
      </c>
      <c r="AW3" s="672">
        <f ca="1">CostCalcs!I41</f>
        <v>546.01396565974801</v>
      </c>
      <c r="AX3" s="672">
        <f ca="1">CostCalcs!I42</f>
        <v>582.43424497294291</v>
      </c>
      <c r="AY3" s="672">
        <f ca="1">CostCalcs!I43</f>
        <v>619.58292987240179</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6</v>
      </c>
      <c r="BV3" s="27">
        <f>IF(FixtureData!A6="Baseline",'Road Geometry'!C11,IF(FixtureData!A6="Upgrade",'Road Geometry'!D11,""))</f>
        <v>4</v>
      </c>
      <c r="BW3" s="27"/>
      <c r="BX3" s="27">
        <f>IF(FixtureData!A6="Baseline",'Road Geometry'!C12,IF(FixtureData!A6="Upgrade",'Road Geometry'!D12,""))</f>
        <v>2</v>
      </c>
      <c r="BY3" s="27" t="str">
        <f>IF(FixtureData!A6="Baseline",'Road Geometry'!C16,IF(FixtureData!A6="Upgrade",'Road Geometry'!D16,""))</f>
        <v>Median mounted</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2</v>
      </c>
      <c r="CD3" s="27"/>
      <c r="CE3" s="306">
        <f ca="1">IF(FixtureData!A6="Baseline",FixtureData!H18,IF(FixtureData!A6="Upgrade",FixtureData!H19,""))</f>
        <v>0.66</v>
      </c>
    </row>
    <row r="4" spans="1:83" s="310" customFormat="1" ht="27.75" customHeight="1">
      <c r="F4" s="311"/>
      <c r="G4" s="311"/>
      <c r="H4" s="396"/>
      <c r="I4" s="396"/>
      <c r="J4" s="396"/>
      <c r="K4" s="396"/>
      <c r="L4" s="397"/>
      <c r="M4" s="396"/>
      <c r="N4" s="312"/>
      <c r="O4" s="312"/>
      <c r="Q4" s="312"/>
      <c r="R4" s="312"/>
      <c r="S4" s="312"/>
      <c r="T4" s="312"/>
      <c r="U4" s="312"/>
      <c r="Z4" s="688"/>
      <c r="AA4" s="688"/>
      <c r="AB4" s="674"/>
      <c r="AC4" s="674"/>
      <c r="AD4" s="674"/>
      <c r="AE4" s="688"/>
      <c r="AF4" s="688"/>
      <c r="AG4" s="688"/>
      <c r="AH4" s="688"/>
      <c r="AI4" s="688"/>
      <c r="AJ4" s="688"/>
      <c r="AK4" s="688"/>
      <c r="AL4" s="688"/>
      <c r="AM4" s="688"/>
      <c r="AN4" s="688"/>
      <c r="AO4" s="688"/>
      <c r="AP4" s="688"/>
      <c r="AQ4" s="688"/>
      <c r="AR4" s="688"/>
      <c r="AS4" s="688"/>
      <c r="AT4" s="688"/>
      <c r="AU4" s="688"/>
      <c r="AV4" s="688"/>
      <c r="AW4" s="688"/>
      <c r="AX4" s="688"/>
      <c r="AY4" s="688"/>
      <c r="AZ4" s="498"/>
      <c r="BA4" s="498"/>
      <c r="BB4" s="498"/>
      <c r="BC4" s="498"/>
      <c r="BD4" s="498"/>
      <c r="BE4" s="498"/>
      <c r="BF4" s="498"/>
      <c r="BG4" s="498"/>
      <c r="BH4" s="498"/>
      <c r="BI4" s="498"/>
      <c r="BJ4" s="498"/>
      <c r="BK4" s="498"/>
      <c r="BL4" s="498"/>
      <c r="BM4" s="498"/>
      <c r="BN4" s="498"/>
      <c r="BO4" s="498"/>
      <c r="BP4" s="498"/>
      <c r="BQ4" s="498"/>
      <c r="BR4" s="498"/>
      <c r="BS4" s="498"/>
      <c r="BT4" s="313"/>
    </row>
    <row r="5" spans="1:83">
      <c r="S5" s="341"/>
      <c r="Z5" s="689"/>
      <c r="AA5" s="689"/>
      <c r="AB5" s="689"/>
      <c r="AC5" s="689"/>
      <c r="AD5" s="675"/>
      <c r="AE5" s="689"/>
      <c r="AF5" s="689"/>
      <c r="AG5" s="689"/>
      <c r="AH5" s="689"/>
      <c r="AI5" s="689"/>
      <c r="AJ5" s="689"/>
      <c r="AK5" s="689"/>
      <c r="AL5" s="689"/>
      <c r="AM5" s="689"/>
      <c r="AN5" s="689"/>
      <c r="AO5" s="689"/>
      <c r="AP5" s="689"/>
      <c r="AQ5" s="689"/>
      <c r="AR5" s="689"/>
      <c r="AS5" s="689"/>
      <c r="AT5" s="689"/>
      <c r="AU5" s="689"/>
      <c r="AV5" s="689"/>
      <c r="AW5" s="689"/>
      <c r="AX5" s="689"/>
      <c r="AY5" s="689"/>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14</v>
      </c>
      <c r="B1" s="365" t="s">
        <v>1786</v>
      </c>
    </row>
    <row r="2" spans="1:2">
      <c r="A2" s="294" t="s">
        <v>3380</v>
      </c>
      <c r="B2" s="365" t="s">
        <v>1787</v>
      </c>
    </row>
    <row r="14" spans="1:2" ht="15.75" thickBot="1">
      <c r="A14" s="352" t="str">
        <f>Translation!B101</f>
        <v>Type</v>
      </c>
    </row>
    <row r="15" spans="1:2" ht="208.5" customHeight="1" thickTop="1">
      <c r="A15" s="931"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31"/>
    </row>
    <row r="30" spans="1:2" ht="15.75" thickBot="1">
      <c r="A30" s="352" t="str">
        <f>Translation!B102</f>
        <v>Watts</v>
      </c>
    </row>
    <row r="31" spans="1:2" s="350" customFormat="1" ht="47.25" customHeight="1" thickTop="1">
      <c r="A31" s="931" t="str">
        <f>Translation!B100</f>
        <v xml:space="preserve">This is actual power consumption of the fixture, including the bulb and any ballast or other electronics. It is read in from the IES file when other fixture data is captured. </v>
      </c>
      <c r="B31" s="931"/>
    </row>
    <row r="33" spans="1:2" ht="151.5" customHeight="1">
      <c r="A33" s="931"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31"/>
    </row>
    <row r="52" spans="1:2" ht="15.75" thickBot="1">
      <c r="A52" s="353" t="str">
        <f>Translation!B95</f>
        <v>Total Light Loss Factor</v>
      </c>
    </row>
    <row r="53" spans="1:2" ht="258.75" customHeight="1" thickTop="1">
      <c r="A53" s="931"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31"/>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3"/>
    </row>
    <row r="69" spans="1:2">
      <c r="A69" s="931"/>
      <c r="B69" s="931"/>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2" t="str">
        <f>Translation!B325</f>
        <v>The installation cost should be the all-in cost for installing the fixture, including street closure costs, labor costs, etc. as relevant. If this is your baseline fixture (i.e. already installed), this cost should be zero</v>
      </c>
      <c r="B76" s="932"/>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2"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2"/>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4" t="str">
        <f>Translation!B329</f>
        <v xml:space="preserve">Enter the assumed discount rate for calculating the net present value of future energy and maintenance cost savings
</v>
      </c>
      <c r="B88" s="934"/>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2" t="str">
        <f>Translation!B331</f>
        <v xml:space="preserve">Enter the time period over which you'd like to evaluate the differences in maintenance, bulb replacement, and energy costs between the scenarios
</v>
      </c>
      <c r="B94" s="932"/>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31"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31"/>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2"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2"/>
    </row>
    <row r="124" spans="1:2">
      <c r="A124" s="932" t="str">
        <f>Translation!B93</f>
        <v>For LED fixtures , fixture life can be very long - but a poorly designed fixture may have a much shorter life than typical. It's very important to assess manufacturer claims about typical life. To assess these claims, here are some tips:</v>
      </c>
      <c r="B124" s="932"/>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f ca="1">FixtureData!G$6</f>
        <v>134</v>
      </c>
    </row>
    <row r="10" spans="2:3">
      <c r="B10" s="175" t="str">
        <f>FixtureData!H$5</f>
        <v>Total Light Loss Factor</v>
      </c>
      <c r="C10" s="259">
        <f ca="1">FixtureData!H$6</f>
        <v>0.66</v>
      </c>
    </row>
    <row r="11" spans="2:3">
      <c r="B11" s="175" t="str">
        <f>FixtureData!I$5</f>
        <v>kWh/fixture</v>
      </c>
      <c r="C11" s="320">
        <f ca="1">FixtureData!I$6</f>
        <v>0</v>
      </c>
    </row>
    <row r="12" spans="2:3">
      <c r="B12" s="175" t="str">
        <f>FixtureData!J$5</f>
        <v>kWh/kilometer/yr</v>
      </c>
      <c r="C12" s="321">
        <f ca="1">FixtureData!J$6</f>
        <v>0</v>
      </c>
    </row>
    <row r="13" spans="2:3">
      <c r="B13" s="175" t="str">
        <f>FixtureData!K$5</f>
        <v>Equipment Cost ($/fixture)</v>
      </c>
      <c r="C13" s="322">
        <f>FixtureData!K$6</f>
        <v>0</v>
      </c>
    </row>
    <row r="14" spans="2:3">
      <c r="B14" s="175" t="str">
        <f>FixtureData!L$5</f>
        <v>Installation Cost ($/fixture)</v>
      </c>
      <c r="C14" s="322">
        <f>FixtureData!L$6</f>
        <v>0</v>
      </c>
    </row>
    <row r="15" spans="2:3" ht="30">
      <c r="B15" s="175" t="str">
        <f>FixtureData!M$5</f>
        <v>One-time Rebate or Subsidy ($/fixture)</v>
      </c>
      <c r="C15" s="322">
        <f>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1106</v>
      </c>
      <c r="C20" s="324">
        <f>C13+C14-C15</f>
        <v>0</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f>C20</f>
        <v>0</v>
      </c>
      <c r="J23" s="326">
        <f>$C$18*C20</f>
        <v>0</v>
      </c>
      <c r="K23" s="326">
        <f t="shared" ref="K23:K43" si="0">$C$18*D23</f>
        <v>0</v>
      </c>
      <c r="L23" s="326"/>
      <c r="M23" s="326">
        <f t="shared" ref="M23:M38" si="1">$C$18*F23</f>
        <v>0</v>
      </c>
      <c r="N23" s="326">
        <f t="shared" ref="N23:N38" si="2">$C$18*G23</f>
        <v>0</v>
      </c>
      <c r="O23" s="326">
        <f t="shared" ref="O23:O38" si="3">$C$18*H23</f>
        <v>0</v>
      </c>
      <c r="P23" s="326">
        <f t="shared" ref="P23:P38" si="4">$C$18*I23</f>
        <v>0</v>
      </c>
      <c r="R23" s="333">
        <v>0</v>
      </c>
      <c r="S23" s="324">
        <f>I23</f>
        <v>0</v>
      </c>
      <c r="T23" s="333">
        <f>R23-S23</f>
        <v>0</v>
      </c>
      <c r="U23" s="259" t="str">
        <f ca="1">IF(T23&gt;0,Translation!$B$509,IF(AVERAGE($T$24:$T$43)&lt;0,Translation!$B$510,""))</f>
        <v/>
      </c>
      <c r="V23" s="494"/>
    </row>
    <row r="24" spans="1:23">
      <c r="A24" t="s">
        <v>1107</v>
      </c>
      <c r="B24" s="327">
        <v>1</v>
      </c>
      <c r="C24" s="328">
        <f t="shared" ref="C24:C43" ca="1" si="5">$C$16*(1+$C$17)^$B24</f>
        <v>25.5</v>
      </c>
      <c r="D24" s="328">
        <f t="shared" ref="D24:D43" ca="1" si="6">$C$11*$C$3*(1+$C$4)^B24</f>
        <v>0</v>
      </c>
      <c r="E24" s="328">
        <f ca="1">D24+C24</f>
        <v>25.5</v>
      </c>
      <c r="F24" s="329">
        <f t="shared" ref="F24:F43" ca="1" si="7">(C24)/(1+$C$5)^$B24</f>
        <v>25.5</v>
      </c>
      <c r="G24" s="329">
        <f t="shared" ref="G24:G43" ca="1" si="8">(D24)/(1+$C$5)^$B24</f>
        <v>0</v>
      </c>
      <c r="H24" s="329">
        <f ca="1">F24+G24</f>
        <v>25.5</v>
      </c>
      <c r="I24" s="328">
        <f t="shared" ref="I24:I43" ca="1" si="9">I23+G24+F24</f>
        <v>25.5</v>
      </c>
      <c r="J24" s="326">
        <f t="shared" ref="J24:J43" ca="1" si="10">$C$18*C24</f>
        <v>728.57142857142856</v>
      </c>
      <c r="K24" s="326">
        <f t="shared" ca="1" si="0"/>
        <v>0</v>
      </c>
      <c r="L24" s="326"/>
      <c r="M24" s="326">
        <f t="shared" ca="1" si="1"/>
        <v>728.57142857142856</v>
      </c>
      <c r="N24" s="326">
        <f t="shared" ca="1" si="2"/>
        <v>0</v>
      </c>
      <c r="O24" s="326">
        <f t="shared" ca="1" si="3"/>
        <v>728.57142857142856</v>
      </c>
      <c r="P24" s="326">
        <f t="shared" ca="1" si="4"/>
        <v>728.57142857142856</v>
      </c>
      <c r="R24" s="333">
        <v>40.689840000000004</v>
      </c>
      <c r="S24" s="501">
        <f ca="1">E24</f>
        <v>25.5</v>
      </c>
      <c r="T24" s="333">
        <f t="shared" ref="T24:T43" ca="1" si="11">R24-S24</f>
        <v>15.189840000000004</v>
      </c>
      <c r="U24" s="502" t="e">
        <f ca="1">IF(U$23&lt;&gt;"",$U$23,IRR(T$23:T24))</f>
        <v>#NUM!</v>
      </c>
      <c r="V24" s="494"/>
      <c r="W24" s="500"/>
    </row>
    <row r="25" spans="1:23">
      <c r="B25" s="327">
        <v>2</v>
      </c>
      <c r="C25" s="328">
        <f t="shared" ca="1" si="5"/>
        <v>26.009999999999998</v>
      </c>
      <c r="D25" s="328">
        <f t="shared" ca="1" si="6"/>
        <v>0</v>
      </c>
      <c r="E25" s="328">
        <f t="shared" ref="E25:E43" ca="1" si="12">D25+C25</f>
        <v>26.009999999999998</v>
      </c>
      <c r="F25" s="329">
        <f t="shared" ca="1" si="7"/>
        <v>26.009999999999998</v>
      </c>
      <c r="G25" s="329">
        <f t="shared" ca="1" si="8"/>
        <v>0</v>
      </c>
      <c r="H25" s="329">
        <f t="shared" ref="H25:H43" ca="1" si="13">F25+G25</f>
        <v>26.009999999999998</v>
      </c>
      <c r="I25" s="328">
        <f t="shared" ca="1" si="9"/>
        <v>51.51</v>
      </c>
      <c r="J25" s="326">
        <f t="shared" ca="1" si="10"/>
        <v>743.14285714285711</v>
      </c>
      <c r="K25" s="326">
        <f t="shared" ca="1" si="0"/>
        <v>0</v>
      </c>
      <c r="L25" s="326"/>
      <c r="M25" s="326">
        <f t="shared" ca="1" si="1"/>
        <v>743.14285714285711</v>
      </c>
      <c r="N25" s="326">
        <f t="shared" ca="1" si="2"/>
        <v>0</v>
      </c>
      <c r="O25" s="326">
        <f t="shared" ca="1" si="3"/>
        <v>743.14285714285711</v>
      </c>
      <c r="P25" s="326">
        <f t="shared" ca="1" si="4"/>
        <v>1471.7142857142858</v>
      </c>
      <c r="R25" s="333">
        <v>41.503636800000002</v>
      </c>
      <c r="S25" s="501">
        <f t="shared" ref="S25:S43" ca="1" si="14">E25</f>
        <v>26.009999999999998</v>
      </c>
      <c r="T25" s="333">
        <f t="shared" ca="1" si="11"/>
        <v>15.493636800000004</v>
      </c>
      <c r="U25" s="502" t="e">
        <f ca="1">IF(U$23&lt;&gt;"","-",IRR(T$23:T25))</f>
        <v>#NUM!</v>
      </c>
      <c r="V25" s="494"/>
      <c r="W25" s="500"/>
    </row>
    <row r="26" spans="1:23">
      <c r="B26" s="327">
        <v>3</v>
      </c>
      <c r="C26" s="328">
        <f t="shared" ca="1" si="5"/>
        <v>26.530199999999997</v>
      </c>
      <c r="D26" s="328">
        <f t="shared" ca="1" si="6"/>
        <v>0</v>
      </c>
      <c r="E26" s="328">
        <f t="shared" ca="1" si="12"/>
        <v>26.530199999999997</v>
      </c>
      <c r="F26" s="329">
        <f t="shared" ca="1" si="7"/>
        <v>26.530199999999997</v>
      </c>
      <c r="G26" s="329">
        <f t="shared" ca="1" si="8"/>
        <v>0</v>
      </c>
      <c r="H26" s="329">
        <f t="shared" ca="1" si="13"/>
        <v>26.530199999999997</v>
      </c>
      <c r="I26" s="328">
        <f t="shared" ca="1" si="9"/>
        <v>78.040199999999999</v>
      </c>
      <c r="J26" s="326">
        <f t="shared" ca="1" si="10"/>
        <v>758.00571428571425</v>
      </c>
      <c r="K26" s="326">
        <f t="shared" ca="1" si="0"/>
        <v>0</v>
      </c>
      <c r="L26" s="326"/>
      <c r="M26" s="326">
        <f t="shared" ca="1" si="1"/>
        <v>758.00571428571425</v>
      </c>
      <c r="N26" s="326">
        <f t="shared" ca="1" si="2"/>
        <v>0</v>
      </c>
      <c r="O26" s="326">
        <f t="shared" ca="1" si="3"/>
        <v>758.00571428571425</v>
      </c>
      <c r="P26" s="326">
        <f t="shared" ca="1" si="4"/>
        <v>2229.7200000000003</v>
      </c>
      <c r="R26" s="333">
        <v>42.333709536000001</v>
      </c>
      <c r="S26" s="501">
        <f t="shared" ca="1" si="14"/>
        <v>26.530199999999997</v>
      </c>
      <c r="T26" s="333">
        <f t="shared" ca="1" si="11"/>
        <v>15.803509536000004</v>
      </c>
      <c r="U26" s="502" t="e">
        <f ca="1">IF(U$23&lt;&gt;"","-",IRR(T$23:T26))</f>
        <v>#NUM!</v>
      </c>
      <c r="V26" s="494"/>
      <c r="W26" s="500"/>
    </row>
    <row r="27" spans="1:23">
      <c r="B27" s="327">
        <v>4</v>
      </c>
      <c r="C27" s="328">
        <f t="shared" ca="1" si="5"/>
        <v>27.060804000000001</v>
      </c>
      <c r="D27" s="328">
        <f t="shared" ca="1" si="6"/>
        <v>0</v>
      </c>
      <c r="E27" s="328">
        <f t="shared" ca="1" si="12"/>
        <v>27.060804000000001</v>
      </c>
      <c r="F27" s="329">
        <f t="shared" ca="1" si="7"/>
        <v>27.060804000000001</v>
      </c>
      <c r="G27" s="329">
        <f t="shared" ca="1" si="8"/>
        <v>0</v>
      </c>
      <c r="H27" s="329">
        <f t="shared" ca="1" si="13"/>
        <v>27.060804000000001</v>
      </c>
      <c r="I27" s="328">
        <f t="shared" ca="1" si="9"/>
        <v>105.101004</v>
      </c>
      <c r="J27" s="326">
        <f t="shared" ca="1" si="10"/>
        <v>773.16582857142862</v>
      </c>
      <c r="K27" s="326">
        <f t="shared" ca="1" si="0"/>
        <v>0</v>
      </c>
      <c r="L27" s="326"/>
      <c r="M27" s="326">
        <f t="shared" ca="1" si="1"/>
        <v>773.16582857142862</v>
      </c>
      <c r="N27" s="326">
        <f t="shared" ca="1" si="2"/>
        <v>0</v>
      </c>
      <c r="O27" s="326">
        <f t="shared" ca="1" si="3"/>
        <v>773.16582857142862</v>
      </c>
      <c r="P27" s="326">
        <f t="shared" ca="1" si="4"/>
        <v>3002.8858285714286</v>
      </c>
      <c r="R27" s="333">
        <v>43.180383726720002</v>
      </c>
      <c r="S27" s="501">
        <f t="shared" ca="1" si="14"/>
        <v>27.060804000000001</v>
      </c>
      <c r="T27" s="333">
        <f t="shared" ca="1" si="11"/>
        <v>16.119579726720001</v>
      </c>
      <c r="U27" s="502" t="e">
        <f ca="1">IF(U$23&lt;&gt;"","-",IRR(T$23:T27))</f>
        <v>#NUM!</v>
      </c>
      <c r="V27" s="494"/>
      <c r="W27" s="500"/>
    </row>
    <row r="28" spans="1:23">
      <c r="B28" s="327">
        <v>5</v>
      </c>
      <c r="C28" s="328">
        <f t="shared" ca="1" si="5"/>
        <v>27.602020079999999</v>
      </c>
      <c r="D28" s="328">
        <f t="shared" ca="1" si="6"/>
        <v>0</v>
      </c>
      <c r="E28" s="328">
        <f t="shared" ca="1" si="12"/>
        <v>27.602020079999999</v>
      </c>
      <c r="F28" s="329">
        <f t="shared" ca="1" si="7"/>
        <v>27.602020079999999</v>
      </c>
      <c r="G28" s="329">
        <f t="shared" ca="1" si="8"/>
        <v>0</v>
      </c>
      <c r="H28" s="329">
        <f t="shared" ca="1" si="13"/>
        <v>27.602020079999999</v>
      </c>
      <c r="I28" s="328">
        <f t="shared" ca="1" si="9"/>
        <v>132.70302408000001</v>
      </c>
      <c r="J28" s="326">
        <f t="shared" ca="1" si="10"/>
        <v>788.62914514285717</v>
      </c>
      <c r="K28" s="326">
        <f t="shared" ca="1" si="0"/>
        <v>0</v>
      </c>
      <c r="L28" s="326"/>
      <c r="M28" s="326">
        <f t="shared" ca="1" si="1"/>
        <v>788.62914514285717</v>
      </c>
      <c r="N28" s="326">
        <f t="shared" ca="1" si="2"/>
        <v>0</v>
      </c>
      <c r="O28" s="326">
        <f t="shared" ca="1" si="3"/>
        <v>788.62914514285717</v>
      </c>
      <c r="P28" s="326">
        <f t="shared" ca="1" si="4"/>
        <v>3791.514973714286</v>
      </c>
      <c r="R28" s="333">
        <v>44.043991401254402</v>
      </c>
      <c r="S28" s="501">
        <f t="shared" ca="1" si="14"/>
        <v>27.602020079999999</v>
      </c>
      <c r="T28" s="333">
        <f t="shared" ca="1" si="11"/>
        <v>16.441971321254403</v>
      </c>
      <c r="U28" s="502" t="e">
        <f ca="1">IF(U$23&lt;&gt;"","-",IRR(T$23:T28))</f>
        <v>#NUM!</v>
      </c>
      <c r="V28" s="494"/>
      <c r="W28" s="500"/>
    </row>
    <row r="29" spans="1:23">
      <c r="B29" s="327">
        <v>6</v>
      </c>
      <c r="C29" s="328">
        <f t="shared" ca="1" si="5"/>
        <v>28.154060481600002</v>
      </c>
      <c r="D29" s="328">
        <f t="shared" ca="1" si="6"/>
        <v>0</v>
      </c>
      <c r="E29" s="328">
        <f t="shared" ca="1" si="12"/>
        <v>28.154060481600002</v>
      </c>
      <c r="F29" s="329">
        <f t="shared" ca="1" si="7"/>
        <v>28.154060481600002</v>
      </c>
      <c r="G29" s="329">
        <f t="shared" ca="1" si="8"/>
        <v>0</v>
      </c>
      <c r="H29" s="329">
        <f t="shared" ca="1" si="13"/>
        <v>28.154060481600002</v>
      </c>
      <c r="I29" s="328">
        <f t="shared" ca="1" si="9"/>
        <v>160.8570845616</v>
      </c>
      <c r="J29" s="326">
        <f t="shared" ca="1" si="10"/>
        <v>804.40172804571444</v>
      </c>
      <c r="K29" s="326">
        <f t="shared" ca="1" si="0"/>
        <v>0</v>
      </c>
      <c r="L29" s="326"/>
      <c r="M29" s="326">
        <f t="shared" ca="1" si="1"/>
        <v>804.40172804571444</v>
      </c>
      <c r="N29" s="326">
        <f t="shared" ca="1" si="2"/>
        <v>0</v>
      </c>
      <c r="O29" s="326">
        <f t="shared" ca="1" si="3"/>
        <v>804.40172804571444</v>
      </c>
      <c r="P29" s="326">
        <f t="shared" ca="1" si="4"/>
        <v>4595.9167017600003</v>
      </c>
      <c r="R29" s="333">
        <v>44.924871229279489</v>
      </c>
      <c r="S29" s="501">
        <f t="shared" ca="1" si="14"/>
        <v>28.154060481600002</v>
      </c>
      <c r="T29" s="333">
        <f t="shared" ca="1" si="11"/>
        <v>16.770810747679487</v>
      </c>
      <c r="U29" s="502" t="e">
        <f ca="1">IF(U$23&lt;&gt;"","-",IRR(T$23:T29))</f>
        <v>#NUM!</v>
      </c>
      <c r="V29" s="494"/>
      <c r="W29" s="500"/>
    </row>
    <row r="30" spans="1:23">
      <c r="B30" s="327">
        <v>7</v>
      </c>
      <c r="C30" s="328">
        <f t="shared" ca="1" si="5"/>
        <v>28.717141691231994</v>
      </c>
      <c r="D30" s="328">
        <f t="shared" ca="1" si="6"/>
        <v>0</v>
      </c>
      <c r="E30" s="328">
        <f t="shared" ca="1" si="12"/>
        <v>28.717141691231994</v>
      </c>
      <c r="F30" s="329">
        <f t="shared" ca="1" si="7"/>
        <v>28.717141691231994</v>
      </c>
      <c r="G30" s="329">
        <f t="shared" ca="1" si="8"/>
        <v>0</v>
      </c>
      <c r="H30" s="329">
        <f t="shared" ca="1" si="13"/>
        <v>28.717141691231994</v>
      </c>
      <c r="I30" s="328">
        <f t="shared" ca="1" si="9"/>
        <v>189.57422625283201</v>
      </c>
      <c r="J30" s="326">
        <f t="shared" ca="1" si="10"/>
        <v>820.48976260662846</v>
      </c>
      <c r="K30" s="326">
        <f t="shared" ca="1" si="0"/>
        <v>0</v>
      </c>
      <c r="L30" s="326"/>
      <c r="M30" s="326">
        <f t="shared" ca="1" si="1"/>
        <v>820.48976260662846</v>
      </c>
      <c r="N30" s="326">
        <f t="shared" ca="1" si="2"/>
        <v>0</v>
      </c>
      <c r="O30" s="326">
        <f t="shared" ca="1" si="3"/>
        <v>820.48976260662846</v>
      </c>
      <c r="P30" s="326">
        <f t="shared" ca="1" si="4"/>
        <v>5416.4064643666288</v>
      </c>
      <c r="R30" s="333">
        <v>45.823368653865074</v>
      </c>
      <c r="S30" s="501">
        <f t="shared" ca="1" si="14"/>
        <v>28.717141691231994</v>
      </c>
      <c r="T30" s="333">
        <f t="shared" ca="1" si="11"/>
        <v>17.10622696263308</v>
      </c>
      <c r="U30" s="502" t="e">
        <f ca="1">IF(U$23&lt;&gt;"","-",IRR(T$23:T30))</f>
        <v>#NUM!</v>
      </c>
      <c r="V30" s="494"/>
      <c r="W30" s="500"/>
    </row>
    <row r="31" spans="1:23">
      <c r="B31" s="327">
        <v>8</v>
      </c>
      <c r="C31" s="328">
        <f t="shared" ca="1" si="5"/>
        <v>29.291484525056639</v>
      </c>
      <c r="D31" s="328">
        <f t="shared" ca="1" si="6"/>
        <v>0</v>
      </c>
      <c r="E31" s="328">
        <f t="shared" ca="1" si="12"/>
        <v>29.291484525056639</v>
      </c>
      <c r="F31" s="329">
        <f t="shared" ca="1" si="7"/>
        <v>29.291484525056639</v>
      </c>
      <c r="G31" s="329">
        <f t="shared" ca="1" si="8"/>
        <v>0</v>
      </c>
      <c r="H31" s="329">
        <f t="shared" ca="1" si="13"/>
        <v>29.291484525056639</v>
      </c>
      <c r="I31" s="328">
        <f t="shared" ca="1" si="9"/>
        <v>218.86571077788864</v>
      </c>
      <c r="J31" s="326">
        <f t="shared" ca="1" si="10"/>
        <v>836.89955785876111</v>
      </c>
      <c r="K31" s="326">
        <f t="shared" ca="1" si="0"/>
        <v>0</v>
      </c>
      <c r="L31" s="326"/>
      <c r="M31" s="326">
        <f t="shared" ca="1" si="1"/>
        <v>836.89955785876111</v>
      </c>
      <c r="N31" s="326">
        <f t="shared" ca="1" si="2"/>
        <v>0</v>
      </c>
      <c r="O31" s="326">
        <f t="shared" ca="1" si="3"/>
        <v>836.89955785876111</v>
      </c>
      <c r="P31" s="326">
        <f t="shared" ca="1" si="4"/>
        <v>6253.3060222253898</v>
      </c>
      <c r="R31" s="333">
        <v>46.739836026942385</v>
      </c>
      <c r="S31" s="501">
        <f t="shared" ca="1" si="14"/>
        <v>29.291484525056639</v>
      </c>
      <c r="T31" s="333">
        <f t="shared" ca="1" si="11"/>
        <v>17.448351501885746</v>
      </c>
      <c r="U31" s="502" t="e">
        <f ca="1">IF(U$23&lt;&gt;"","-",IRR(T$23:T31))</f>
        <v>#NUM!</v>
      </c>
      <c r="V31" s="494"/>
      <c r="W31" s="500"/>
    </row>
    <row r="32" spans="1:23">
      <c r="B32" s="327">
        <v>9</v>
      </c>
      <c r="C32" s="328">
        <f t="shared" ca="1" si="5"/>
        <v>29.877314215557771</v>
      </c>
      <c r="D32" s="328">
        <f t="shared" ca="1" si="6"/>
        <v>0</v>
      </c>
      <c r="E32" s="328">
        <f t="shared" ca="1" si="12"/>
        <v>29.877314215557771</v>
      </c>
      <c r="F32" s="329">
        <f t="shared" ca="1" si="7"/>
        <v>29.877314215557771</v>
      </c>
      <c r="G32" s="329">
        <f t="shared" ca="1" si="8"/>
        <v>0</v>
      </c>
      <c r="H32" s="329">
        <f t="shared" ca="1" si="13"/>
        <v>29.877314215557771</v>
      </c>
      <c r="I32" s="328">
        <f t="shared" ca="1" si="9"/>
        <v>248.7430249934464</v>
      </c>
      <c r="J32" s="326">
        <f t="shared" ca="1" si="10"/>
        <v>853.63754901593632</v>
      </c>
      <c r="K32" s="326">
        <f t="shared" ca="1" si="0"/>
        <v>0</v>
      </c>
      <c r="L32" s="326"/>
      <c r="M32" s="326">
        <f t="shared" ca="1" si="1"/>
        <v>853.63754901593632</v>
      </c>
      <c r="N32" s="326">
        <f t="shared" ca="1" si="2"/>
        <v>0</v>
      </c>
      <c r="O32" s="326">
        <f t="shared" ca="1" si="3"/>
        <v>853.63754901593632</v>
      </c>
      <c r="P32" s="326">
        <f t="shared" ca="1" si="4"/>
        <v>7106.943571241326</v>
      </c>
      <c r="R32" s="333">
        <v>47.674632747481226</v>
      </c>
      <c r="S32" s="501">
        <f t="shared" ca="1" si="14"/>
        <v>29.877314215557771</v>
      </c>
      <c r="T32" s="333">
        <f t="shared" ca="1" si="11"/>
        <v>17.797318531923455</v>
      </c>
      <c r="U32" s="502" t="e">
        <f ca="1">IF(U$23&lt;&gt;"","-",IRR(T$23:T32))</f>
        <v>#NUM!</v>
      </c>
      <c r="V32" s="494"/>
      <c r="W32" s="500"/>
    </row>
    <row r="33" spans="2:23">
      <c r="B33" s="327">
        <v>10</v>
      </c>
      <c r="C33" s="328">
        <f t="shared" ca="1" si="5"/>
        <v>30.474860499868928</v>
      </c>
      <c r="D33" s="328">
        <f t="shared" ca="1" si="6"/>
        <v>0</v>
      </c>
      <c r="E33" s="328">
        <f t="shared" ca="1" si="12"/>
        <v>30.474860499868928</v>
      </c>
      <c r="F33" s="329">
        <f t="shared" ca="1" si="7"/>
        <v>30.474860499868928</v>
      </c>
      <c r="G33" s="329">
        <f t="shared" ca="1" si="8"/>
        <v>0</v>
      </c>
      <c r="H33" s="329">
        <f t="shared" ca="1" si="13"/>
        <v>30.474860499868928</v>
      </c>
      <c r="I33" s="328">
        <f t="shared" ca="1" si="9"/>
        <v>279.21788549331535</v>
      </c>
      <c r="J33" s="326">
        <f t="shared" ca="1" si="10"/>
        <v>870.71029999625512</v>
      </c>
      <c r="K33" s="326">
        <f t="shared" ca="1" si="0"/>
        <v>0</v>
      </c>
      <c r="L33" s="326"/>
      <c r="M33" s="326">
        <f t="shared" ca="1" si="1"/>
        <v>870.71029999625512</v>
      </c>
      <c r="N33" s="326">
        <f t="shared" ca="1" si="2"/>
        <v>0</v>
      </c>
      <c r="O33" s="326">
        <f t="shared" ca="1" si="3"/>
        <v>870.71029999625512</v>
      </c>
      <c r="P33" s="326">
        <f t="shared" ca="1" si="4"/>
        <v>7977.6538712375823</v>
      </c>
      <c r="R33" s="333">
        <v>48.628125402430854</v>
      </c>
      <c r="S33" s="501">
        <f t="shared" ca="1" si="14"/>
        <v>30.474860499868928</v>
      </c>
      <c r="T33" s="333">
        <f t="shared" ca="1" si="11"/>
        <v>18.153264902561926</v>
      </c>
      <c r="U33" s="502" t="e">
        <f ca="1">IF(U$23&lt;&gt;"","-",IRR(T$23:T33))</f>
        <v>#NUM!</v>
      </c>
      <c r="V33" s="494"/>
      <c r="W33" s="500"/>
    </row>
    <row r="34" spans="2:23">
      <c r="B34" s="327">
        <v>11</v>
      </c>
      <c r="C34" s="328">
        <f t="shared" ca="1" si="5"/>
        <v>31.0843577098663</v>
      </c>
      <c r="D34" s="328">
        <f t="shared" ca="1" si="6"/>
        <v>0</v>
      </c>
      <c r="E34" s="328">
        <f t="shared" ca="1" si="12"/>
        <v>31.0843577098663</v>
      </c>
      <c r="F34" s="329">
        <f t="shared" ca="1" si="7"/>
        <v>31.0843577098663</v>
      </c>
      <c r="G34" s="329">
        <f t="shared" ca="1" si="8"/>
        <v>0</v>
      </c>
      <c r="H34" s="329">
        <f t="shared" ca="1" si="13"/>
        <v>31.0843577098663</v>
      </c>
      <c r="I34" s="328">
        <f t="shared" ca="1" si="9"/>
        <v>310.30224320318166</v>
      </c>
      <c r="J34" s="326">
        <f t="shared" ca="1" si="10"/>
        <v>888.12450599618001</v>
      </c>
      <c r="K34" s="326">
        <f t="shared" ca="1" si="0"/>
        <v>0</v>
      </c>
      <c r="L34" s="326"/>
      <c r="M34" s="326">
        <f t="shared" ca="1" si="1"/>
        <v>888.12450599618001</v>
      </c>
      <c r="N34" s="326">
        <f t="shared" ca="1" si="2"/>
        <v>0</v>
      </c>
      <c r="O34" s="326">
        <f t="shared" ca="1" si="3"/>
        <v>888.12450599618001</v>
      </c>
      <c r="P34" s="326">
        <f t="shared" ca="1" si="4"/>
        <v>8865.7783772337625</v>
      </c>
      <c r="R34" s="333">
        <v>49.600687910479465</v>
      </c>
      <c r="S34" s="501">
        <f t="shared" ca="1" si="14"/>
        <v>31.0843577098663</v>
      </c>
      <c r="T34" s="333">
        <f t="shared" ca="1" si="11"/>
        <v>18.516330200613165</v>
      </c>
      <c r="U34" s="502" t="e">
        <f ca="1">IF(U$23&lt;&gt;"","-",IRR(T$23:T34))</f>
        <v>#NUM!</v>
      </c>
      <c r="V34" s="494"/>
      <c r="W34" s="500"/>
    </row>
    <row r="35" spans="2:23">
      <c r="B35" s="327">
        <v>12</v>
      </c>
      <c r="C35" s="328">
        <f t="shared" ca="1" si="5"/>
        <v>31.706044864063632</v>
      </c>
      <c r="D35" s="328">
        <f t="shared" ca="1" si="6"/>
        <v>0</v>
      </c>
      <c r="E35" s="328">
        <f t="shared" ca="1" si="12"/>
        <v>31.706044864063632</v>
      </c>
      <c r="F35" s="329">
        <f t="shared" ca="1" si="7"/>
        <v>31.706044864063632</v>
      </c>
      <c r="G35" s="329">
        <f t="shared" ca="1" si="8"/>
        <v>0</v>
      </c>
      <c r="H35" s="329">
        <f t="shared" ca="1" si="13"/>
        <v>31.706044864063632</v>
      </c>
      <c r="I35" s="328">
        <f t="shared" ca="1" si="9"/>
        <v>342.0082880672453</v>
      </c>
      <c r="J35" s="326">
        <f t="shared" ca="1" si="10"/>
        <v>905.88699611610377</v>
      </c>
      <c r="K35" s="326">
        <f t="shared" ca="1" si="0"/>
        <v>0</v>
      </c>
      <c r="L35" s="326"/>
      <c r="M35" s="326">
        <f t="shared" ca="1" si="1"/>
        <v>905.88699611610377</v>
      </c>
      <c r="N35" s="326">
        <f t="shared" ca="1" si="2"/>
        <v>0</v>
      </c>
      <c r="O35" s="326">
        <f t="shared" ca="1" si="3"/>
        <v>905.88699611610377</v>
      </c>
      <c r="P35" s="326">
        <f t="shared" ca="1" si="4"/>
        <v>9771.6653733498661</v>
      </c>
      <c r="R35" s="333">
        <v>50.59270166868906</v>
      </c>
      <c r="S35" s="501">
        <f t="shared" ca="1" si="14"/>
        <v>31.706044864063632</v>
      </c>
      <c r="T35" s="333">
        <f t="shared" ca="1" si="11"/>
        <v>18.886656804625428</v>
      </c>
      <c r="U35" s="502" t="e">
        <f ca="1">IF(U$23&lt;&gt;"","-",IRR(T$23:T35))</f>
        <v>#NUM!</v>
      </c>
      <c r="V35" s="494"/>
      <c r="W35" s="500"/>
    </row>
    <row r="36" spans="2:23">
      <c r="B36" s="327">
        <v>13</v>
      </c>
      <c r="C36" s="328">
        <f t="shared" ca="1" si="5"/>
        <v>32.340165761344899</v>
      </c>
      <c r="D36" s="328">
        <f t="shared" ca="1" si="6"/>
        <v>0</v>
      </c>
      <c r="E36" s="328">
        <f t="shared" ca="1" si="12"/>
        <v>32.340165761344899</v>
      </c>
      <c r="F36" s="329">
        <f t="shared" ca="1" si="7"/>
        <v>32.340165761344899</v>
      </c>
      <c r="G36" s="329">
        <f t="shared" ca="1" si="8"/>
        <v>0</v>
      </c>
      <c r="H36" s="329">
        <f t="shared" ca="1" si="13"/>
        <v>32.340165761344899</v>
      </c>
      <c r="I36" s="328">
        <f t="shared" ca="1" si="9"/>
        <v>374.34845382859021</v>
      </c>
      <c r="J36" s="326">
        <f t="shared" ca="1" si="10"/>
        <v>924.00473603842579</v>
      </c>
      <c r="K36" s="326">
        <f t="shared" ca="1" si="0"/>
        <v>0</v>
      </c>
      <c r="L36" s="326"/>
      <c r="M36" s="326">
        <f t="shared" ca="1" si="1"/>
        <v>924.00473603842579</v>
      </c>
      <c r="N36" s="326">
        <f t="shared" ca="1" si="2"/>
        <v>0</v>
      </c>
      <c r="O36" s="326">
        <f t="shared" ca="1" si="3"/>
        <v>924.00473603842579</v>
      </c>
      <c r="P36" s="326">
        <f t="shared" ca="1" si="4"/>
        <v>10695.670109388293</v>
      </c>
      <c r="R36" s="333">
        <v>51.604555702062839</v>
      </c>
      <c r="S36" s="501">
        <f t="shared" ca="1" si="14"/>
        <v>32.340165761344899</v>
      </c>
      <c r="T36" s="333">
        <f t="shared" ca="1" si="11"/>
        <v>19.26438994071794</v>
      </c>
      <c r="U36" s="502" t="e">
        <f ca="1">IF(U$23&lt;&gt;"","-",IRR(T$23:T36))</f>
        <v>#NUM!</v>
      </c>
      <c r="V36" s="494"/>
      <c r="W36" s="500"/>
    </row>
    <row r="37" spans="2:23">
      <c r="B37" s="327">
        <v>14</v>
      </c>
      <c r="C37" s="328">
        <f t="shared" ca="1" si="5"/>
        <v>32.986969076571803</v>
      </c>
      <c r="D37" s="328">
        <f t="shared" ca="1" si="6"/>
        <v>0</v>
      </c>
      <c r="E37" s="328">
        <f t="shared" ca="1" si="12"/>
        <v>32.986969076571803</v>
      </c>
      <c r="F37" s="329">
        <f t="shared" ca="1" si="7"/>
        <v>32.986969076571803</v>
      </c>
      <c r="G37" s="329">
        <f t="shared" ca="1" si="8"/>
        <v>0</v>
      </c>
      <c r="H37" s="329">
        <f t="shared" ca="1" si="13"/>
        <v>32.986969076571803</v>
      </c>
      <c r="I37" s="328">
        <f t="shared" ca="1" si="9"/>
        <v>407.33542290516203</v>
      </c>
      <c r="J37" s="326">
        <f t="shared" ca="1" si="10"/>
        <v>942.48483075919444</v>
      </c>
      <c r="K37" s="326">
        <f t="shared" ca="1" si="0"/>
        <v>0</v>
      </c>
      <c r="L37" s="326"/>
      <c r="M37" s="326">
        <f t="shared" ca="1" si="1"/>
        <v>942.48483075919444</v>
      </c>
      <c r="N37" s="326">
        <f t="shared" ca="1" si="2"/>
        <v>0</v>
      </c>
      <c r="O37" s="326">
        <f t="shared" ca="1" si="3"/>
        <v>942.48483075919444</v>
      </c>
      <c r="P37" s="326">
        <f t="shared" ca="1" si="4"/>
        <v>11638.154940147488</v>
      </c>
      <c r="R37" s="333">
        <v>52.636646816104104</v>
      </c>
      <c r="S37" s="501">
        <f t="shared" ca="1" si="14"/>
        <v>32.986969076571803</v>
      </c>
      <c r="T37" s="333">
        <f t="shared" ca="1" si="11"/>
        <v>19.649677739532301</v>
      </c>
      <c r="U37" s="502" t="e">
        <f ca="1">IF(U$23&lt;&gt;"","-",IRR(T$23:T37))</f>
        <v>#NUM!</v>
      </c>
      <c r="V37" s="494"/>
      <c r="W37" s="500"/>
    </row>
    <row r="38" spans="2:23">
      <c r="B38" s="327">
        <v>15</v>
      </c>
      <c r="C38" s="328">
        <f t="shared" ca="1" si="5"/>
        <v>33.646708458103234</v>
      </c>
      <c r="D38" s="328">
        <f t="shared" ca="1" si="6"/>
        <v>0</v>
      </c>
      <c r="E38" s="328">
        <f t="shared" ca="1" si="12"/>
        <v>33.646708458103234</v>
      </c>
      <c r="F38" s="329">
        <f t="shared" ca="1" si="7"/>
        <v>33.646708458103234</v>
      </c>
      <c r="G38" s="329">
        <f t="shared" ca="1" si="8"/>
        <v>0</v>
      </c>
      <c r="H38" s="329">
        <f t="shared" ca="1" si="13"/>
        <v>33.646708458103234</v>
      </c>
      <c r="I38" s="328">
        <f t="shared" ca="1" si="9"/>
        <v>440.98213136326524</v>
      </c>
      <c r="J38" s="326">
        <f t="shared" ca="1" si="10"/>
        <v>961.33452737437813</v>
      </c>
      <c r="K38" s="326">
        <f t="shared" ca="1" si="0"/>
        <v>0</v>
      </c>
      <c r="L38" s="326"/>
      <c r="M38" s="326">
        <f t="shared" ca="1" si="1"/>
        <v>961.33452737437813</v>
      </c>
      <c r="N38" s="326">
        <f t="shared" ca="1" si="2"/>
        <v>0</v>
      </c>
      <c r="O38" s="326">
        <f t="shared" ca="1" si="3"/>
        <v>961.33452737437813</v>
      </c>
      <c r="P38" s="326">
        <f t="shared" ca="1" si="4"/>
        <v>12599.489467521864</v>
      </c>
      <c r="R38" s="333">
        <v>53.68937975242617</v>
      </c>
      <c r="S38" s="501">
        <f t="shared" ca="1" si="14"/>
        <v>33.646708458103234</v>
      </c>
      <c r="T38" s="333">
        <f t="shared" ca="1" si="11"/>
        <v>20.042671294322936</v>
      </c>
      <c r="U38" s="502" t="e">
        <f ca="1">IF(U$23&lt;&gt;"","-",IRR(T$23:T38))</f>
        <v>#NUM!</v>
      </c>
      <c r="V38" s="494"/>
      <c r="W38" s="500"/>
    </row>
    <row r="39" spans="2:23">
      <c r="B39" s="327">
        <v>16</v>
      </c>
      <c r="C39" s="328">
        <f t="shared" ca="1" si="5"/>
        <v>34.319642627265303</v>
      </c>
      <c r="D39" s="328">
        <f t="shared" ca="1" si="6"/>
        <v>0</v>
      </c>
      <c r="E39" s="328">
        <f t="shared" ca="1" si="12"/>
        <v>34.319642627265303</v>
      </c>
      <c r="F39" s="329">
        <f t="shared" ca="1" si="7"/>
        <v>34.319642627265303</v>
      </c>
      <c r="G39" s="329">
        <f t="shared" ca="1" si="8"/>
        <v>0</v>
      </c>
      <c r="H39" s="329">
        <f t="shared" ca="1" si="13"/>
        <v>34.319642627265303</v>
      </c>
      <c r="I39" s="328">
        <f t="shared" ca="1" si="9"/>
        <v>475.30177399053053</v>
      </c>
      <c r="J39" s="326">
        <f t="shared" ca="1" si="10"/>
        <v>980.56121792186582</v>
      </c>
      <c r="K39" s="326">
        <f t="shared" ca="1" si="0"/>
        <v>0</v>
      </c>
      <c r="L39" s="326"/>
      <c r="M39" s="326">
        <f t="shared" ref="M39:N43" ca="1" si="15">$C$18*F39</f>
        <v>980.56121792186582</v>
      </c>
      <c r="N39" s="326">
        <f t="shared" ca="1" si="15"/>
        <v>0</v>
      </c>
      <c r="O39" s="326">
        <f t="shared" ref="O39:P43" ca="1" si="16">$C$18*H39</f>
        <v>980.56121792186582</v>
      </c>
      <c r="P39" s="326">
        <f t="shared" ca="1" si="16"/>
        <v>13580.05068544373</v>
      </c>
      <c r="R39" s="333">
        <v>54.763167347474706</v>
      </c>
      <c r="S39" s="501">
        <f t="shared" ca="1" si="14"/>
        <v>34.319642627265303</v>
      </c>
      <c r="T39" s="333">
        <f t="shared" ca="1" si="11"/>
        <v>20.443524720209403</v>
      </c>
      <c r="U39" s="502" t="e">
        <f ca="1">IF(U$23&lt;&gt;"","-",IRR(T$23:T39))</f>
        <v>#NUM!</v>
      </c>
      <c r="V39" s="494"/>
      <c r="W39" s="500"/>
    </row>
    <row r="40" spans="2:23">
      <c r="B40" s="327">
        <v>17</v>
      </c>
      <c r="C40" s="328">
        <f t="shared" ca="1" si="5"/>
        <v>35.006035479810613</v>
      </c>
      <c r="D40" s="328">
        <f t="shared" ca="1" si="6"/>
        <v>0</v>
      </c>
      <c r="E40" s="328">
        <f t="shared" ca="1" si="12"/>
        <v>35.006035479810613</v>
      </c>
      <c r="F40" s="329">
        <f t="shared" ca="1" si="7"/>
        <v>35.006035479810613</v>
      </c>
      <c r="G40" s="329">
        <f t="shared" ca="1" si="8"/>
        <v>0</v>
      </c>
      <c r="H40" s="329">
        <f t="shared" ca="1" si="13"/>
        <v>35.006035479810613</v>
      </c>
      <c r="I40" s="328">
        <f t="shared" ca="1" si="9"/>
        <v>510.30780947034117</v>
      </c>
      <c r="J40" s="326">
        <f t="shared" ca="1" si="10"/>
        <v>1000.1724422803032</v>
      </c>
      <c r="K40" s="326">
        <f t="shared" ca="1" si="0"/>
        <v>0</v>
      </c>
      <c r="L40" s="326"/>
      <c r="M40" s="326">
        <f t="shared" ca="1" si="15"/>
        <v>1000.1724422803032</v>
      </c>
      <c r="N40" s="326">
        <f t="shared" ca="1" si="15"/>
        <v>0</v>
      </c>
      <c r="O40" s="326">
        <f t="shared" ca="1" si="16"/>
        <v>1000.1724422803032</v>
      </c>
      <c r="P40" s="326">
        <f t="shared" ca="1" si="16"/>
        <v>14580.223127724033</v>
      </c>
      <c r="R40" s="333">
        <v>55.8584306944242</v>
      </c>
      <c r="S40" s="501">
        <f t="shared" ca="1" si="14"/>
        <v>35.006035479810613</v>
      </c>
      <c r="T40" s="333">
        <f t="shared" ca="1" si="11"/>
        <v>20.852395214613587</v>
      </c>
      <c r="U40" s="502" t="e">
        <f ca="1">IF(U$23&lt;&gt;"","-",IRR(T$23:T40))</f>
        <v>#NUM!</v>
      </c>
      <c r="V40" s="494"/>
      <c r="W40" s="500"/>
    </row>
    <row r="41" spans="2:23">
      <c r="B41" s="327">
        <v>18</v>
      </c>
      <c r="C41" s="328">
        <f t="shared" ca="1" si="5"/>
        <v>35.706156189406819</v>
      </c>
      <c r="D41" s="328">
        <f t="shared" ca="1" si="6"/>
        <v>0</v>
      </c>
      <c r="E41" s="328">
        <f t="shared" ca="1" si="12"/>
        <v>35.706156189406819</v>
      </c>
      <c r="F41" s="329">
        <f t="shared" ca="1" si="7"/>
        <v>35.706156189406819</v>
      </c>
      <c r="G41" s="329">
        <f t="shared" ca="1" si="8"/>
        <v>0</v>
      </c>
      <c r="H41" s="329">
        <f t="shared" ca="1" si="13"/>
        <v>35.706156189406819</v>
      </c>
      <c r="I41" s="328">
        <f t="shared" ca="1" si="9"/>
        <v>546.01396565974801</v>
      </c>
      <c r="J41" s="326">
        <f t="shared" ca="1" si="10"/>
        <v>1020.1758911259092</v>
      </c>
      <c r="K41" s="326">
        <f t="shared" ca="1" si="0"/>
        <v>0</v>
      </c>
      <c r="L41" s="326"/>
      <c r="M41" s="326">
        <f t="shared" ca="1" si="15"/>
        <v>1020.1758911259092</v>
      </c>
      <c r="N41" s="326">
        <f t="shared" ca="1" si="15"/>
        <v>0</v>
      </c>
      <c r="O41" s="326">
        <f t="shared" ca="1" si="16"/>
        <v>1020.1758911259092</v>
      </c>
      <c r="P41" s="326">
        <f t="shared" ca="1" si="16"/>
        <v>15600.399018849945</v>
      </c>
      <c r="R41" s="333">
        <v>56.975599308312681</v>
      </c>
      <c r="S41" s="501">
        <f t="shared" ca="1" si="14"/>
        <v>35.706156189406819</v>
      </c>
      <c r="T41" s="333">
        <f t="shared" ca="1" si="11"/>
        <v>21.269443118905862</v>
      </c>
      <c r="U41" s="502" t="e">
        <f ca="1">IF(U$23&lt;&gt;"","-",IRR(T$23:T41))</f>
        <v>#NUM!</v>
      </c>
      <c r="V41" s="494"/>
      <c r="W41" s="500"/>
    </row>
    <row r="42" spans="2:23">
      <c r="B42" s="327">
        <v>19</v>
      </c>
      <c r="C42" s="328">
        <f t="shared" ca="1" si="5"/>
        <v>36.420279313194953</v>
      </c>
      <c r="D42" s="328">
        <f t="shared" ca="1" si="6"/>
        <v>0</v>
      </c>
      <c r="E42" s="328">
        <f t="shared" ca="1" si="12"/>
        <v>36.420279313194953</v>
      </c>
      <c r="F42" s="329">
        <f t="shared" ca="1" si="7"/>
        <v>36.420279313194953</v>
      </c>
      <c r="G42" s="329">
        <f t="shared" ca="1" si="8"/>
        <v>0</v>
      </c>
      <c r="H42" s="329">
        <f t="shared" ca="1" si="13"/>
        <v>36.420279313194953</v>
      </c>
      <c r="I42" s="328">
        <f t="shared" ca="1" si="9"/>
        <v>582.43424497294291</v>
      </c>
      <c r="J42" s="326">
        <f t="shared" ca="1" si="10"/>
        <v>1040.5794089484273</v>
      </c>
      <c r="K42" s="326">
        <f t="shared" ca="1" si="0"/>
        <v>0</v>
      </c>
      <c r="L42" s="326"/>
      <c r="M42" s="326">
        <f t="shared" ca="1" si="15"/>
        <v>1040.5794089484273</v>
      </c>
      <c r="N42" s="326">
        <f t="shared" ca="1" si="15"/>
        <v>0</v>
      </c>
      <c r="O42" s="326">
        <f t="shared" ca="1" si="16"/>
        <v>1040.5794089484273</v>
      </c>
      <c r="P42" s="326">
        <f t="shared" ca="1" si="16"/>
        <v>16640.978427798371</v>
      </c>
      <c r="R42" s="333">
        <v>58.115111294478929</v>
      </c>
      <c r="S42" s="501">
        <f t="shared" ca="1" si="14"/>
        <v>36.420279313194953</v>
      </c>
      <c r="T42" s="333">
        <f t="shared" ca="1" si="11"/>
        <v>21.694831981283976</v>
      </c>
      <c r="U42" s="502" t="e">
        <f ca="1">IF(U$23&lt;&gt;"","-",IRR(T$23:T42))</f>
        <v>#NUM!</v>
      </c>
      <c r="V42" s="494"/>
      <c r="W42" s="500"/>
    </row>
    <row r="43" spans="2:23">
      <c r="B43" s="327">
        <v>20</v>
      </c>
      <c r="C43" s="328">
        <f t="shared" ca="1" si="5"/>
        <v>37.148684899458857</v>
      </c>
      <c r="D43" s="328">
        <f t="shared" ca="1" si="6"/>
        <v>0</v>
      </c>
      <c r="E43" s="328">
        <f t="shared" ca="1" si="12"/>
        <v>37.148684899458857</v>
      </c>
      <c r="F43" s="329">
        <f t="shared" ca="1" si="7"/>
        <v>37.148684899458857</v>
      </c>
      <c r="G43" s="329">
        <f t="shared" ca="1" si="8"/>
        <v>0</v>
      </c>
      <c r="H43" s="329">
        <f t="shared" ca="1" si="13"/>
        <v>37.148684899458857</v>
      </c>
      <c r="I43" s="328">
        <f t="shared" ca="1" si="9"/>
        <v>619.58292987240179</v>
      </c>
      <c r="J43" s="326">
        <f t="shared" ca="1" si="10"/>
        <v>1061.3909971273961</v>
      </c>
      <c r="K43" s="326">
        <f t="shared" ca="1" si="0"/>
        <v>0</v>
      </c>
      <c r="L43" s="326"/>
      <c r="M43" s="326">
        <f t="shared" ca="1" si="15"/>
        <v>1061.3909971273961</v>
      </c>
      <c r="N43" s="326">
        <f t="shared" ca="1" si="15"/>
        <v>0</v>
      </c>
      <c r="O43" s="326">
        <f t="shared" ca="1" si="16"/>
        <v>1061.3909971273961</v>
      </c>
      <c r="P43" s="326">
        <f t="shared" ca="1" si="16"/>
        <v>17702.369424925768</v>
      </c>
      <c r="R43" s="333">
        <v>59.277413520368512</v>
      </c>
      <c r="S43" s="501">
        <f t="shared" ca="1" si="14"/>
        <v>37.148684899458857</v>
      </c>
      <c r="T43" s="333">
        <f t="shared" ca="1" si="11"/>
        <v>22.128728620909655</v>
      </c>
      <c r="U43" s="502" t="e">
        <f ca="1">IF(U$23&lt;&gt;"","-",IRR(T$23:T43))</f>
        <v>#NUM!</v>
      </c>
      <c r="V43" s="494"/>
      <c r="W43" s="500"/>
    </row>
    <row r="44" spans="2:23">
      <c r="E44" s="481"/>
      <c r="L44" s="481"/>
    </row>
    <row r="45" spans="2:23">
      <c r="B45" s="2" t="s">
        <v>1124</v>
      </c>
    </row>
    <row r="46" spans="2:23">
      <c r="B46" s="175" t="str">
        <f>Translation!C373</f>
        <v>Total Installation Cost</v>
      </c>
      <c r="C46" s="333">
        <f>C20</f>
        <v>0</v>
      </c>
    </row>
    <row r="47" spans="2:23">
      <c r="B47" s="175" t="str">
        <f>Translation!C374</f>
        <v>Total Annual Cost</v>
      </c>
      <c r="C47" s="333">
        <f ca="1">C3*C11+C16</f>
        <v>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5" t="str">
        <f>Translation!$B$350</f>
        <v>The assumptions below are the default costs used when adding a new IES file. They can be overwritten for each individual fixture on the 'Fixtures' tab</v>
      </c>
      <c r="B2" s="935"/>
      <c r="C2" s="935"/>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9" t="s">
        <v>343</v>
      </c>
      <c r="D42" s="710" t="s">
        <v>1964</v>
      </c>
      <c r="E42" s="710" t="s">
        <v>1965</v>
      </c>
      <c r="F42" s="710" t="s">
        <v>3296</v>
      </c>
      <c r="G42" s="711" t="s">
        <v>3361</v>
      </c>
    </row>
    <row r="43" spans="2:7">
      <c r="B43" s="632" t="str">
        <f>INDEX($C43:$G43,MATCH($B$42,$C$42:$G$42,0))</f>
        <v>HPS</v>
      </c>
      <c r="C43" s="117" t="s">
        <v>0</v>
      </c>
      <c r="D43" s="365" t="s">
        <v>1985</v>
      </c>
      <c r="E43" s="294" t="s">
        <v>1983</v>
      </c>
      <c r="F43" s="294" t="s">
        <v>0</v>
      </c>
      <c r="G43" s="706"/>
    </row>
    <row r="44" spans="2:7">
      <c r="B44" s="632" t="str">
        <f t="shared" ref="B44:B45" si="1">INDEX($C44:$G44,MATCH($B$42,$C$42:$G$42,0))</f>
        <v>MH</v>
      </c>
      <c r="C44" s="117" t="s">
        <v>330</v>
      </c>
      <c r="D44" s="365" t="s">
        <v>330</v>
      </c>
      <c r="E44" s="294" t="s">
        <v>1984</v>
      </c>
      <c r="F44" s="294" t="s">
        <v>330</v>
      </c>
      <c r="G44" s="706"/>
    </row>
    <row r="45" spans="2:7">
      <c r="B45" s="632" t="str">
        <f t="shared" si="1"/>
        <v>LED</v>
      </c>
      <c r="C45" s="111" t="s">
        <v>65</v>
      </c>
      <c r="D45" s="707" t="s">
        <v>65</v>
      </c>
      <c r="E45" s="708" t="s">
        <v>65</v>
      </c>
      <c r="F45" s="708"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zoomScaleNormal="100" workbookViewId="0">
      <selection activeCell="H9" sqref="H9"/>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8" s="22" customFormat="1"/>
    <row r="2" spans="1:18" s="22" customFormat="1">
      <c r="A2" s="24" t="s">
        <v>43</v>
      </c>
      <c r="B2" s="16">
        <v>9</v>
      </c>
    </row>
    <row r="3" spans="1:18" s="22" customFormat="1" ht="30">
      <c r="A3" s="24" t="s">
        <v>44</v>
      </c>
      <c r="B3" s="16">
        <v>10</v>
      </c>
    </row>
    <row r="4" spans="1:18" s="22" customFormat="1">
      <c r="A4" s="24" t="s">
        <v>47</v>
      </c>
      <c r="B4" s="17">
        <f t="array" ref="B4">MAX(IF(LEN(B41:B36985)&gt;0,ROW(B41:B36985),0))-ROW(FxLib_start)+1</f>
        <v>2180</v>
      </c>
    </row>
    <row r="5" spans="1:18"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R5" si="1">P17</f>
        <v>Tilt (degrees)</v>
      </c>
      <c r="Q5" s="713" t="str">
        <f t="shared" si="1"/>
        <v>Fixtures / Pole</v>
      </c>
      <c r="R5" s="713" t="str">
        <f t="shared" si="1"/>
        <v>Separation Angle (degrees)</v>
      </c>
    </row>
    <row r="6" spans="1:18" s="22" customFormat="1" ht="15.75" thickBot="1">
      <c r="A6" s="659" t="s">
        <v>22</v>
      </c>
      <c r="B6" s="61" t="str">
        <f ca="1">INDEX(B$18:B$20,MATCH($A$6,$A$18:$A$20,0))</f>
        <v>ATB2_60B_LED_E70_XXXXX_R2.ies</v>
      </c>
      <c r="G6" s="55">
        <f t="shared" ref="G6:R6" ca="1" si="2">INDEX(G$18:G$20,MATCH($A$6,$A$18:$A$20,0))</f>
        <v>134</v>
      </c>
      <c r="H6" s="55">
        <f t="shared" ca="1" si="2"/>
        <v>0.66</v>
      </c>
      <c r="I6" s="55">
        <f t="shared" ca="1" si="2"/>
        <v>0</v>
      </c>
      <c r="J6" s="55">
        <f t="shared" ca="1" si="2"/>
        <v>0</v>
      </c>
      <c r="K6" s="318">
        <f t="shared" si="2"/>
        <v>0</v>
      </c>
      <c r="L6" s="318">
        <f t="shared" si="2"/>
        <v>0</v>
      </c>
      <c r="M6" s="318">
        <f t="shared" si="2"/>
        <v>0</v>
      </c>
      <c r="N6" s="318">
        <f t="shared" ca="1" si="2"/>
        <v>25</v>
      </c>
      <c r="O6" s="319">
        <f t="shared" ca="1" si="2"/>
        <v>0.02</v>
      </c>
      <c r="P6" s="698">
        <f ca="1">INDEX(P$18:P$20,MATCH($A$6,$A$18:$A$20,0))</f>
        <v>0</v>
      </c>
      <c r="Q6" s="698">
        <f ca="1">INDEX(Q$18:Q$20,MATCH($A$6,$A$18:$A$20,0))</f>
        <v>2</v>
      </c>
      <c r="R6" s="698">
        <f t="shared" ca="1" si="2"/>
        <v>30</v>
      </c>
    </row>
    <row r="7" spans="1:18" s="22" customFormat="1">
      <c r="A7" s="60" t="s">
        <v>9</v>
      </c>
      <c r="B7" s="57">
        <f ca="1">MATCH(B6,FxLib_names,0)-1</f>
        <v>2097</v>
      </c>
    </row>
    <row r="8" spans="1:18" s="22" customFormat="1">
      <c r="A8" s="56" t="s">
        <v>67</v>
      </c>
      <c r="B8" s="57" t="str">
        <f ca="1">OFFSET($A$41,B7+1,1)</f>
        <v>American Electric Lighting</v>
      </c>
    </row>
    <row r="9" spans="1:18" s="22" customFormat="1">
      <c r="A9" s="56" t="s">
        <v>1</v>
      </c>
      <c r="B9" s="57" t="str">
        <f ca="1">OFFSET($A$41,B7+2,1)</f>
        <v>LED</v>
      </c>
    </row>
    <row r="10" spans="1:18" s="22" customFormat="1">
      <c r="A10" s="56" t="s">
        <v>68</v>
      </c>
      <c r="B10" s="57" t="str">
        <f ca="1">OFFSET($A$41,B7+3,1)</f>
        <v>ATB2 60B LED E70 XXXXX R2</v>
      </c>
    </row>
    <row r="11" spans="1:18" s="22" customFormat="1">
      <c r="A11" s="56" t="s">
        <v>40</v>
      </c>
      <c r="B11" s="57">
        <f ca="1">OFFSET($A$41,B7+4,1)</f>
        <v>134</v>
      </c>
    </row>
    <row r="12" spans="1:18" s="22" customFormat="1">
      <c r="A12" s="56" t="s">
        <v>70</v>
      </c>
      <c r="B12" s="57" t="str">
        <f ca="1">OFFSET($A$41,B7+5,1)</f>
        <v>TYPE II, MEDIUM, BUG RATING: B2 - U0 - G3</v>
      </c>
    </row>
    <row r="13" spans="1:18" s="22" customFormat="1">
      <c r="A13" s="56" t="s">
        <v>45</v>
      </c>
      <c r="B13" s="57">
        <f ca="1">OFFSET($A$41,B7+6,1)</f>
        <v>0</v>
      </c>
    </row>
    <row r="14" spans="1:18" s="22" customFormat="1" ht="33" customHeight="1">
      <c r="A14" s="56" t="s">
        <v>41</v>
      </c>
      <c r="B14" s="57">
        <f ca="1">OFFSET($A$41,B7+7,1)</f>
        <v>73</v>
      </c>
    </row>
    <row r="15" spans="1:18" s="22" customFormat="1" ht="15.75" thickBot="1">
      <c r="A15" s="58" t="s">
        <v>42</v>
      </c>
      <c r="B15" s="59">
        <f ca="1">OFFSET($A$41,B7+8,1)</f>
        <v>73</v>
      </c>
    </row>
    <row r="16" spans="1:18" s="22" customFormat="1">
      <c r="A16" s="261" t="s">
        <v>575</v>
      </c>
      <c r="B16" s="262">
        <f ca="1">ROW(FxLib_start)+offset</f>
        <v>2138</v>
      </c>
    </row>
    <row r="17" spans="1:18" s="22" customFormat="1" ht="72.75" customHeight="1" thickBot="1">
      <c r="A17" s="261" t="s">
        <v>576</v>
      </c>
      <c r="B17" s="262">
        <f ca="1">ROW(FxLib_start)+offset+Hrow+numhoriz-1</f>
        <v>2220</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c r="Q17" s="713" t="str">
        <f>Fixtures!U36</f>
        <v>Fixtures / Pole</v>
      </c>
      <c r="R17" s="713" t="str">
        <f>Fixtures!V36</f>
        <v>Separation Angle (degrees)</v>
      </c>
    </row>
    <row r="18" spans="1:18" s="22" customFormat="1">
      <c r="A18" s="264" t="s">
        <v>22</v>
      </c>
      <c r="B18" s="267" t="str">
        <f ca="1">INDEX(FixtureChoices,Bfixturechoice)</f>
        <v>ATB2_60B_LED_E70_XXXXX_R2.ies</v>
      </c>
      <c r="C18" s="300">
        <v>42</v>
      </c>
      <c r="D18" s="22" t="s">
        <v>1080</v>
      </c>
      <c r="G18" s="303">
        <f ca="1">INDEX(FixtureWatts,FixtureData!C18)</f>
        <v>134</v>
      </c>
      <c r="H18" s="304">
        <f ca="1">INDEX(FixtureLOM,FixtureData!C18)</f>
        <v>0.66</v>
      </c>
      <c r="I18" s="305">
        <f ca="1">(FixtureData!G18/1000)*Costs!$C$8</f>
        <v>0</v>
      </c>
      <c r="J18" s="305">
        <f ca="1">I18*'Road Geometry'!C51</f>
        <v>0</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697">
        <f ca="1">INDEX(FixtureTilt,FixtureData!$C18)</f>
        <v>0</v>
      </c>
      <c r="Q18" s="697">
        <f ca="1">INDEX(fixturesPerPole,FixtureData!$C18)</f>
        <v>2</v>
      </c>
      <c r="R18" s="697">
        <f ca="1">IF(Q18=1,0,INDEX(fixtureSeparationAngle,FixtureData!$C18))</f>
        <v>30</v>
      </c>
    </row>
    <row r="19" spans="1:18" s="22" customFormat="1">
      <c r="A19" s="265" t="s">
        <v>19</v>
      </c>
      <c r="B19" s="268" t="str">
        <f ca="1">INDEX(FixtureChoices,Ufixturechoice)</f>
        <v>AE - LED 238W Type III</v>
      </c>
      <c r="C19" s="300">
        <v>38</v>
      </c>
      <c r="D19" s="22" t="s">
        <v>1081</v>
      </c>
      <c r="G19" s="303">
        <f ca="1">INDEX(FixtureWatts,FixtureData!C19)</f>
        <v>238</v>
      </c>
      <c r="H19" s="304">
        <f ca="1">INDEX(FixtureLOM,FixtureData!C19)</f>
        <v>0.61599999999999999</v>
      </c>
      <c r="I19" s="305">
        <f ca="1">(FixtureData!G19/1000)*Costs!$C$8</f>
        <v>0</v>
      </c>
      <c r="J19" s="305">
        <f ca="1">I19*'Road Geometry'!C77</f>
        <v>0</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697">
        <f ca="1">INDEX(FixtureTilt,FixtureData!$C19)</f>
        <v>10</v>
      </c>
      <c r="Q19" s="697">
        <f ca="1">INDEX(fixturesPerPole,FixtureData!$C19)</f>
        <v>2</v>
      </c>
      <c r="R19" s="697">
        <f ca="1">IF(Q19=1,0,INDEX(fixtureSeparationAngle,FixtureData!$C19))</f>
        <v>30</v>
      </c>
    </row>
    <row r="20" spans="1:18" s="22" customFormat="1">
      <c r="A20" s="266" t="s">
        <v>579</v>
      </c>
      <c r="B20" s="269" t="str">
        <f ca="1">'Delete IES'!$C$20</f>
        <v>AE - LED 238W Type III</v>
      </c>
      <c r="G20" s="711"/>
      <c r="H20" s="711"/>
      <c r="I20" s="711"/>
      <c r="J20" s="711"/>
      <c r="K20" s="711"/>
      <c r="L20" s="711"/>
      <c r="M20" s="711"/>
      <c r="N20" s="711"/>
      <c r="O20" s="711"/>
      <c r="P20" s="711"/>
      <c r="Q20" s="711"/>
      <c r="R20" s="711"/>
    </row>
    <row r="21" spans="1:18" s="22" customFormat="1"/>
    <row r="22" spans="1:18" s="22" customFormat="1"/>
    <row r="23" spans="1:18" s="22" customFormat="1">
      <c r="A23" s="168" t="s">
        <v>1257</v>
      </c>
      <c r="B23" s="36" t="s">
        <v>1248</v>
      </c>
    </row>
    <row r="24" spans="1:18" s="22" customFormat="1"/>
    <row r="25" spans="1:18" s="22" customFormat="1"/>
    <row r="26" spans="1:18" s="22" customFormat="1"/>
    <row r="27" spans="1:18" s="22" customFormat="1"/>
    <row r="28" spans="1:18" s="22" customFormat="1"/>
    <row r="29" spans="1:18" s="22" customFormat="1"/>
    <row r="30" spans="1:18" s="22" customFormat="1" ht="15" customHeight="1"/>
    <row r="31" spans="1:18" s="22" customFormat="1" ht="15" customHeight="1"/>
    <row r="32" spans="1:18"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2777</v>
      </c>
    </row>
    <row r="1998" spans="1:74">
      <c r="B1998" s="256" t="s">
        <v>3371</v>
      </c>
    </row>
    <row r="1999" spans="1:74">
      <c r="B1999" s="256" t="s">
        <v>65</v>
      </c>
    </row>
    <row r="2000" spans="1:74">
      <c r="B2000" s="256" t="s">
        <v>3372</v>
      </c>
    </row>
    <row r="2001" spans="1:74">
      <c r="B2001" s="256">
        <v>34</v>
      </c>
    </row>
    <row r="2002" spans="1:74">
      <c r="B2002" s="256" t="s">
        <v>3373</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3367</v>
      </c>
    </row>
    <row r="2045" spans="1:74">
      <c r="B2045" s="256" t="s">
        <v>3371</v>
      </c>
    </row>
    <row r="2046" spans="1:74">
      <c r="B2046" s="256" t="s">
        <v>65</v>
      </c>
    </row>
    <row r="2047" spans="1:74">
      <c r="B2047" s="256" t="s">
        <v>3374</v>
      </c>
    </row>
    <row r="2048" spans="1:74">
      <c r="B2048" s="256">
        <v>48</v>
      </c>
    </row>
    <row r="2049" spans="1:74">
      <c r="B2049" s="256" t="s">
        <v>3375</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3339</v>
      </c>
    </row>
    <row r="2092" spans="1:74">
      <c r="B2092" s="256" t="s">
        <v>3371</v>
      </c>
    </row>
    <row r="2093" spans="1:74">
      <c r="B2093" s="256" t="s">
        <v>65</v>
      </c>
    </row>
    <row r="2094" spans="1:74">
      <c r="B2094" s="256" t="s">
        <v>3376</v>
      </c>
    </row>
    <row r="2095" spans="1:74">
      <c r="B2095" s="256">
        <v>91</v>
      </c>
    </row>
    <row r="2096" spans="1:74">
      <c r="B2096" s="256" t="s">
        <v>3377</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3370</v>
      </c>
    </row>
    <row r="2139" spans="1:74">
      <c r="B2139" s="256" t="s">
        <v>3371</v>
      </c>
    </row>
    <row r="2140" spans="1:74">
      <c r="B2140" s="256" t="s">
        <v>65</v>
      </c>
    </row>
    <row r="2141" spans="1:74">
      <c r="B2141" s="256" t="s">
        <v>3378</v>
      </c>
    </row>
    <row r="2142" spans="1:74">
      <c r="B2142" s="256">
        <v>134</v>
      </c>
    </row>
    <row r="2143" spans="1:74">
      <c r="B2143" s="256" t="s">
        <v>3379</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t="e">
        <f>AVERAGE(B13:AO512)</f>
        <v>#DIV/0!</v>
      </c>
      <c r="D4" s="383">
        <f>IF(FixtureData!$B$23="IES",'Lighting Standards'!$D$12,'Lighting Standards'!$H$12)</f>
        <v>6</v>
      </c>
    </row>
    <row r="5" spans="1:41" s="377" customFormat="1" ht="15" customHeight="1">
      <c r="A5" s="375"/>
      <c r="B5" s="376" t="str">
        <f>Translation!B269</f>
        <v>Minimum Illuminance</v>
      </c>
      <c r="C5" s="382">
        <f>MIN(B13:AO512)</f>
        <v>0</v>
      </c>
      <c r="D5" s="383"/>
    </row>
    <row r="6" spans="1:41" s="377" customFormat="1" ht="15" customHeight="1">
      <c r="A6" s="375"/>
      <c r="B6" s="376" t="str">
        <f>Translation!B270</f>
        <v>Maximum Illuminance</v>
      </c>
      <c r="C6" s="382">
        <f>MAX(B13:AO512)</f>
        <v>0</v>
      </c>
      <c r="D6" s="383"/>
    </row>
    <row r="7" spans="1:41">
      <c r="B7" s="376" t="str">
        <f>Translation!B265</f>
        <v>Uniformity Ratio (Iavg/Imin)</v>
      </c>
      <c r="C7" s="382">
        <f>IF(FixtureData!B23="IES",IFERROR(C4/C5,0),IFERROR(C5/C4,0))</f>
        <v>0</v>
      </c>
      <c r="D7" s="383">
        <f>IF(FixtureData!$B$23="IES",'Lighting Standards'!$D$13,'Lighting Standards'!$H$13)</f>
        <v>3</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c r="C12" s="434"/>
      <c r="D12" s="434"/>
      <c r="E12" s="434"/>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t="e">
        <f>IF(FixtureData!$B$23="CIE",MIN('Luminance Calcs CIE'!A:A),AVERAGE(B13:AO512))</f>
        <v>#DIV/0!</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v>
      </c>
      <c r="D5" s="383"/>
    </row>
    <row r="6" spans="1:70" s="377" customFormat="1" ht="15" customHeight="1">
      <c r="A6" s="375"/>
      <c r="B6" s="376" t="str">
        <f>Translation!B273</f>
        <v>Maximum Luminance</v>
      </c>
      <c r="C6" s="382">
        <f>IF(FixtureData!$B$23="CIE",MIN('Luminance Calcs CIE'!C:C),MAX(B13:AO512))</f>
        <v>0</v>
      </c>
      <c r="D6" s="383"/>
    </row>
    <row r="7" spans="1:70" ht="30">
      <c r="B7" s="436" t="str">
        <f>Translation!B267</f>
        <v>Uniformity Ratio (IES - lavg/lmin; CIE - lmin/lavg)</v>
      </c>
      <c r="C7" s="382">
        <f>IFERROR(IF(FixtureData!$B$23="CIE",MIN('Luminance Calcs CIE'!D:D),C4/C5),0)</f>
        <v>0</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51"/>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3341</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row>
    <row r="13" spans="1:57" ht="15.75" customHeight="1"/>
    <row r="15" spans="1:57">
      <c r="BE15" s="705"/>
    </row>
    <row r="27" spans="57:57">
      <c r="BE27" s="705"/>
    </row>
    <row r="39" spans="57:57">
      <c r="BE39" s="705"/>
    </row>
    <row r="51" spans="57:57">
      <c r="BE51" s="705"/>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R4</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264</v>
      </c>
      <c r="E6" s="332">
        <f t="shared" ref="E6:W19" ca="1" si="3">OFFSET($B$35,MATCH($C$4,$B$36:$B$161,0)+$B6,E$3)</f>
        <v>264</v>
      </c>
      <c r="F6" s="332">
        <f t="shared" ca="1" si="3"/>
        <v>264</v>
      </c>
      <c r="G6" s="332">
        <f t="shared" ca="1" si="3"/>
        <v>264</v>
      </c>
      <c r="H6" s="332">
        <f t="shared" ca="1" si="3"/>
        <v>264</v>
      </c>
      <c r="I6" s="332">
        <f t="shared" ca="1" si="3"/>
        <v>264</v>
      </c>
      <c r="J6" s="332">
        <f t="shared" ca="1" si="3"/>
        <v>264</v>
      </c>
      <c r="K6" s="332">
        <f t="shared" ca="1" si="3"/>
        <v>264</v>
      </c>
      <c r="L6" s="332">
        <f t="shared" ca="1" si="3"/>
        <v>264</v>
      </c>
      <c r="M6" s="332">
        <f t="shared" ca="1" si="3"/>
        <v>264</v>
      </c>
      <c r="N6" s="332">
        <f t="shared" ca="1" si="3"/>
        <v>264</v>
      </c>
      <c r="O6" s="332">
        <f t="shared" ca="1" si="3"/>
        <v>264</v>
      </c>
      <c r="P6" s="332">
        <f t="shared" ca="1" si="3"/>
        <v>264</v>
      </c>
      <c r="Q6" s="332">
        <f t="shared" ca="1" si="3"/>
        <v>264</v>
      </c>
      <c r="R6" s="332">
        <f t="shared" ca="1" si="3"/>
        <v>264</v>
      </c>
      <c r="S6" s="332">
        <f t="shared" ca="1" si="3"/>
        <v>264</v>
      </c>
      <c r="T6" s="332">
        <f t="shared" ca="1" si="3"/>
        <v>264</v>
      </c>
      <c r="U6" s="332">
        <f t="shared" ca="1" si="3"/>
        <v>264</v>
      </c>
      <c r="V6" s="332">
        <f t="shared" ca="1" si="3"/>
        <v>264</v>
      </c>
      <c r="W6" s="332">
        <f t="shared" ca="1" si="3"/>
        <v>264</v>
      </c>
    </row>
    <row r="7" spans="2:23">
      <c r="B7">
        <v>3</v>
      </c>
      <c r="C7" s="50">
        <f t="shared" ca="1" si="1"/>
        <v>0.25</v>
      </c>
      <c r="D7" s="332">
        <f t="shared" ca="1" si="2"/>
        <v>297</v>
      </c>
      <c r="E7" s="332">
        <f t="shared" ca="1" si="3"/>
        <v>317</v>
      </c>
      <c r="F7" s="332">
        <f t="shared" ca="1" si="3"/>
        <v>317</v>
      </c>
      <c r="G7" s="332">
        <f t="shared" ca="1" si="3"/>
        <v>317</v>
      </c>
      <c r="H7" s="332">
        <f t="shared" ca="1" si="3"/>
        <v>317</v>
      </c>
      <c r="I7" s="332">
        <f t="shared" ca="1" si="3"/>
        <v>310</v>
      </c>
      <c r="J7" s="332">
        <f t="shared" ca="1" si="3"/>
        <v>304</v>
      </c>
      <c r="K7" s="332">
        <f t="shared" ca="1" si="3"/>
        <v>290</v>
      </c>
      <c r="L7" s="332">
        <f t="shared" ca="1" si="3"/>
        <v>284</v>
      </c>
      <c r="M7" s="332">
        <f t="shared" ca="1" si="3"/>
        <v>277</v>
      </c>
      <c r="N7" s="332">
        <f t="shared" ca="1" si="3"/>
        <v>271</v>
      </c>
      <c r="O7" s="332">
        <f t="shared" ca="1" si="3"/>
        <v>244</v>
      </c>
      <c r="P7" s="332">
        <f t="shared" ca="1" si="3"/>
        <v>231</v>
      </c>
      <c r="Q7" s="332">
        <f t="shared" ca="1" si="3"/>
        <v>224</v>
      </c>
      <c r="R7" s="332">
        <f t="shared" ca="1" si="3"/>
        <v>224</v>
      </c>
      <c r="S7" s="332">
        <f t="shared" ca="1" si="3"/>
        <v>218</v>
      </c>
      <c r="T7" s="332">
        <f t="shared" ca="1" si="3"/>
        <v>218</v>
      </c>
      <c r="U7" s="332">
        <f t="shared" ca="1" si="3"/>
        <v>211</v>
      </c>
      <c r="V7" s="332">
        <f t="shared" ca="1" si="3"/>
        <v>211</v>
      </c>
      <c r="W7" s="332">
        <f t="shared" ca="1" si="3"/>
        <v>211</v>
      </c>
    </row>
    <row r="8" spans="2:23">
      <c r="B8">
        <v>4</v>
      </c>
      <c r="C8" s="50">
        <f t="shared" ca="1" si="1"/>
        <v>0.5</v>
      </c>
      <c r="D8" s="332">
        <f t="shared" ca="1" si="2"/>
        <v>330</v>
      </c>
      <c r="E8" s="332">
        <f t="shared" ca="1" si="3"/>
        <v>343</v>
      </c>
      <c r="F8" s="332">
        <f t="shared" ca="1" si="3"/>
        <v>343</v>
      </c>
      <c r="G8" s="332">
        <f t="shared" ca="1" si="3"/>
        <v>343</v>
      </c>
      <c r="H8" s="332">
        <f t="shared" ca="1" si="3"/>
        <v>330</v>
      </c>
      <c r="I8" s="332">
        <f t="shared" ca="1" si="3"/>
        <v>310</v>
      </c>
      <c r="J8" s="332">
        <f t="shared" ca="1" si="3"/>
        <v>297</v>
      </c>
      <c r="K8" s="332">
        <f t="shared" ca="1" si="3"/>
        <v>284</v>
      </c>
      <c r="L8" s="332">
        <f t="shared" ca="1" si="3"/>
        <v>277</v>
      </c>
      <c r="M8" s="332">
        <f t="shared" ca="1" si="3"/>
        <v>264</v>
      </c>
      <c r="N8" s="332">
        <f t="shared" ca="1" si="3"/>
        <v>251</v>
      </c>
      <c r="O8" s="332">
        <f t="shared" ca="1" si="3"/>
        <v>218</v>
      </c>
      <c r="P8" s="332">
        <f t="shared" ca="1" si="3"/>
        <v>198</v>
      </c>
      <c r="Q8" s="332">
        <f t="shared" ca="1" si="3"/>
        <v>185</v>
      </c>
      <c r="R8" s="332">
        <f t="shared" ca="1" si="3"/>
        <v>178</v>
      </c>
      <c r="S8" s="332">
        <f t="shared" ca="1" si="3"/>
        <v>172</v>
      </c>
      <c r="T8" s="332">
        <f t="shared" ca="1" si="3"/>
        <v>172</v>
      </c>
      <c r="U8" s="332">
        <f t="shared" ca="1" si="3"/>
        <v>165</v>
      </c>
      <c r="V8" s="332">
        <f t="shared" ca="1" si="3"/>
        <v>165</v>
      </c>
      <c r="W8" s="332">
        <f t="shared" ca="1" si="3"/>
        <v>165</v>
      </c>
    </row>
    <row r="9" spans="2:23">
      <c r="B9">
        <v>5</v>
      </c>
      <c r="C9" s="50">
        <f t="shared" ca="1" si="1"/>
        <v>0.75</v>
      </c>
      <c r="D9" s="332">
        <f t="shared" ca="1" si="2"/>
        <v>376</v>
      </c>
      <c r="E9" s="332">
        <f t="shared" ca="1" si="3"/>
        <v>383</v>
      </c>
      <c r="F9" s="332">
        <f t="shared" ca="1" si="3"/>
        <v>370</v>
      </c>
      <c r="G9" s="332">
        <f t="shared" ca="1" si="3"/>
        <v>350</v>
      </c>
      <c r="H9" s="332">
        <f t="shared" ca="1" si="3"/>
        <v>330</v>
      </c>
      <c r="I9" s="332">
        <f t="shared" ca="1" si="3"/>
        <v>304</v>
      </c>
      <c r="J9" s="332">
        <f t="shared" ca="1" si="3"/>
        <v>277</v>
      </c>
      <c r="K9" s="332">
        <f t="shared" ca="1" si="3"/>
        <v>251</v>
      </c>
      <c r="L9" s="332">
        <f t="shared" ca="1" si="3"/>
        <v>231</v>
      </c>
      <c r="M9" s="332">
        <f t="shared" ca="1" si="3"/>
        <v>211</v>
      </c>
      <c r="N9" s="332">
        <f t="shared" ca="1" si="3"/>
        <v>198</v>
      </c>
      <c r="O9" s="332">
        <f t="shared" ca="1" si="3"/>
        <v>165</v>
      </c>
      <c r="P9" s="332">
        <f t="shared" ca="1" si="3"/>
        <v>139</v>
      </c>
      <c r="Q9" s="332">
        <f t="shared" ca="1" si="3"/>
        <v>132</v>
      </c>
      <c r="R9" s="332">
        <f t="shared" ca="1" si="3"/>
        <v>132</v>
      </c>
      <c r="S9" s="332">
        <f t="shared" ca="1" si="3"/>
        <v>125</v>
      </c>
      <c r="T9" s="332">
        <f t="shared" ca="1" si="3"/>
        <v>125</v>
      </c>
      <c r="U9" s="332">
        <f t="shared" ca="1" si="3"/>
        <v>125</v>
      </c>
      <c r="V9" s="332">
        <f t="shared" ca="1" si="3"/>
        <v>119</v>
      </c>
      <c r="W9" s="332">
        <f t="shared" ca="1" si="3"/>
        <v>119</v>
      </c>
    </row>
    <row r="10" spans="2:23">
      <c r="B10">
        <v>6</v>
      </c>
      <c r="C10" s="50">
        <f t="shared" ca="1" si="1"/>
        <v>1</v>
      </c>
      <c r="D10" s="332">
        <f t="shared" ca="1" si="2"/>
        <v>396</v>
      </c>
      <c r="E10" s="332">
        <f t="shared" ca="1" si="3"/>
        <v>396</v>
      </c>
      <c r="F10" s="332">
        <f t="shared" ca="1" si="3"/>
        <v>396</v>
      </c>
      <c r="G10" s="332">
        <f t="shared" ca="1" si="3"/>
        <v>330</v>
      </c>
      <c r="H10" s="332">
        <f t="shared" ca="1" si="3"/>
        <v>290</v>
      </c>
      <c r="I10" s="332">
        <f t="shared" ca="1" si="3"/>
        <v>251</v>
      </c>
      <c r="J10" s="332">
        <f t="shared" ca="1" si="3"/>
        <v>218</v>
      </c>
      <c r="K10" s="332">
        <f t="shared" ca="1" si="3"/>
        <v>198</v>
      </c>
      <c r="L10" s="332">
        <f t="shared" ca="1" si="3"/>
        <v>185</v>
      </c>
      <c r="M10" s="332">
        <f t="shared" ca="1" si="3"/>
        <v>165</v>
      </c>
      <c r="N10" s="332">
        <f t="shared" ca="1" si="3"/>
        <v>145</v>
      </c>
      <c r="O10" s="332">
        <f t="shared" ca="1" si="3"/>
        <v>112</v>
      </c>
      <c r="P10" s="332">
        <f t="shared" ca="1" si="3"/>
        <v>86</v>
      </c>
      <c r="Q10" s="332">
        <f t="shared" ca="1" si="3"/>
        <v>86</v>
      </c>
      <c r="R10" s="332">
        <f t="shared" ca="1" si="3"/>
        <v>86</v>
      </c>
      <c r="S10" s="332">
        <f t="shared" ca="1" si="3"/>
        <v>86</v>
      </c>
      <c r="T10" s="332">
        <f t="shared" ca="1" si="3"/>
        <v>86</v>
      </c>
      <c r="U10" s="332">
        <f t="shared" ca="1" si="3"/>
        <v>87</v>
      </c>
      <c r="V10" s="332">
        <f t="shared" ca="1" si="3"/>
        <v>87</v>
      </c>
      <c r="W10" s="332">
        <f t="shared" ca="1" si="3"/>
        <v>87</v>
      </c>
    </row>
    <row r="11" spans="2:23">
      <c r="B11">
        <v>7</v>
      </c>
      <c r="C11" s="50">
        <f t="shared" ca="1" si="1"/>
        <v>1.25</v>
      </c>
      <c r="D11" s="332">
        <f t="shared" ca="1" si="2"/>
        <v>403</v>
      </c>
      <c r="E11" s="332">
        <f t="shared" ca="1" si="3"/>
        <v>409</v>
      </c>
      <c r="F11" s="332">
        <f t="shared" ca="1" si="3"/>
        <v>370</v>
      </c>
      <c r="G11" s="332">
        <f t="shared" ca="1" si="3"/>
        <v>310</v>
      </c>
      <c r="H11" s="332">
        <f t="shared" ca="1" si="3"/>
        <v>251</v>
      </c>
      <c r="I11" s="332">
        <f t="shared" ca="1" si="3"/>
        <v>211</v>
      </c>
      <c r="J11" s="332">
        <f t="shared" ca="1" si="3"/>
        <v>178</v>
      </c>
      <c r="K11" s="332">
        <f t="shared" ca="1" si="3"/>
        <v>152</v>
      </c>
      <c r="L11" s="332">
        <f t="shared" ca="1" si="3"/>
        <v>132</v>
      </c>
      <c r="M11" s="332">
        <f t="shared" ca="1" si="3"/>
        <v>115</v>
      </c>
      <c r="N11" s="332">
        <f t="shared" ca="1" si="3"/>
        <v>103</v>
      </c>
      <c r="O11" s="332">
        <f t="shared" ca="1" si="3"/>
        <v>77</v>
      </c>
      <c r="P11" s="332">
        <f t="shared" ca="1" si="3"/>
        <v>66</v>
      </c>
      <c r="Q11" s="332">
        <f t="shared" ca="1" si="3"/>
        <v>65</v>
      </c>
      <c r="R11" s="332">
        <f t="shared" ca="1" si="3"/>
        <v>65</v>
      </c>
      <c r="S11" s="332">
        <f t="shared" ca="1" si="3"/>
        <v>63</v>
      </c>
      <c r="T11" s="332">
        <f t="shared" ca="1" si="3"/>
        <v>65</v>
      </c>
      <c r="U11" s="332">
        <f t="shared" ca="1" si="3"/>
        <v>66</v>
      </c>
      <c r="V11" s="332">
        <f t="shared" ca="1" si="3"/>
        <v>67</v>
      </c>
      <c r="W11" s="332">
        <f t="shared" ca="1" si="3"/>
        <v>68</v>
      </c>
    </row>
    <row r="12" spans="2:23">
      <c r="B12">
        <v>8</v>
      </c>
      <c r="C12" s="50">
        <f t="shared" ca="1" si="1"/>
        <v>1.5</v>
      </c>
      <c r="D12" s="332">
        <f t="shared" ca="1" si="2"/>
        <v>409</v>
      </c>
      <c r="E12" s="332">
        <f t="shared" ca="1" si="3"/>
        <v>396</v>
      </c>
      <c r="F12" s="332">
        <f t="shared" ca="1" si="3"/>
        <v>356</v>
      </c>
      <c r="G12" s="332">
        <f t="shared" ca="1" si="3"/>
        <v>284</v>
      </c>
      <c r="H12" s="332">
        <f t="shared" ca="1" si="3"/>
        <v>218</v>
      </c>
      <c r="I12" s="332">
        <f t="shared" ca="1" si="3"/>
        <v>172</v>
      </c>
      <c r="J12" s="332">
        <f t="shared" ca="1" si="3"/>
        <v>139</v>
      </c>
      <c r="K12" s="332">
        <f t="shared" ca="1" si="3"/>
        <v>115</v>
      </c>
      <c r="L12" s="332">
        <f t="shared" ca="1" si="3"/>
        <v>100</v>
      </c>
      <c r="M12" s="332">
        <f t="shared" ca="1" si="3"/>
        <v>88</v>
      </c>
      <c r="N12" s="332">
        <f t="shared" ca="1" si="3"/>
        <v>79</v>
      </c>
      <c r="O12" s="332">
        <f t="shared" ca="1" si="3"/>
        <v>61</v>
      </c>
      <c r="P12" s="332">
        <f t="shared" ca="1" si="3"/>
        <v>50</v>
      </c>
      <c r="Q12" s="332">
        <f t="shared" ca="1" si="3"/>
        <v>50</v>
      </c>
      <c r="R12" s="332">
        <f t="shared" ca="1" si="3"/>
        <v>50</v>
      </c>
      <c r="S12" s="332">
        <f t="shared" ca="1" si="3"/>
        <v>50</v>
      </c>
      <c r="T12" s="332">
        <f t="shared" ca="1" si="3"/>
        <v>52</v>
      </c>
      <c r="U12" s="332">
        <f t="shared" ca="1" si="3"/>
        <v>55</v>
      </c>
      <c r="V12" s="332">
        <f t="shared" ca="1" si="3"/>
        <v>55</v>
      </c>
      <c r="W12" s="332">
        <f t="shared" ca="1" si="3"/>
        <v>55</v>
      </c>
    </row>
    <row r="13" spans="2:23">
      <c r="B13">
        <v>9</v>
      </c>
      <c r="C13" s="50">
        <f t="shared" ca="1" si="1"/>
        <v>1.75</v>
      </c>
      <c r="D13" s="332">
        <f t="shared" ca="1" si="2"/>
        <v>409</v>
      </c>
      <c r="E13" s="332">
        <f t="shared" ca="1" si="3"/>
        <v>396</v>
      </c>
      <c r="F13" s="332">
        <f t="shared" ca="1" si="3"/>
        <v>343</v>
      </c>
      <c r="G13" s="332">
        <f t="shared" ca="1" si="3"/>
        <v>251</v>
      </c>
      <c r="H13" s="332">
        <f t="shared" ca="1" si="3"/>
        <v>178</v>
      </c>
      <c r="I13" s="332">
        <f t="shared" ca="1" si="3"/>
        <v>139</v>
      </c>
      <c r="J13" s="332">
        <f t="shared" ca="1" si="3"/>
        <v>108</v>
      </c>
      <c r="K13" s="332">
        <f t="shared" ca="1" si="3"/>
        <v>88</v>
      </c>
      <c r="L13" s="332">
        <f t="shared" ca="1" si="3"/>
        <v>75</v>
      </c>
      <c r="M13" s="332">
        <f t="shared" ca="1" si="3"/>
        <v>66</v>
      </c>
      <c r="N13" s="332">
        <f t="shared" ca="1" si="3"/>
        <v>59</v>
      </c>
      <c r="O13" s="332">
        <f t="shared" ca="1" si="3"/>
        <v>44</v>
      </c>
      <c r="P13" s="332">
        <f t="shared" ca="1" si="3"/>
        <v>37</v>
      </c>
      <c r="Q13" s="332">
        <f t="shared" ca="1" si="3"/>
        <v>37</v>
      </c>
      <c r="R13" s="332">
        <f t="shared" ca="1" si="3"/>
        <v>37</v>
      </c>
      <c r="S13" s="332">
        <f t="shared" ca="1" si="3"/>
        <v>38</v>
      </c>
      <c r="T13" s="332">
        <f t="shared" ca="1" si="3"/>
        <v>40</v>
      </c>
      <c r="U13" s="332">
        <f t="shared" ca="1" si="3"/>
        <v>41</v>
      </c>
      <c r="V13" s="332">
        <f t="shared" ca="1" si="3"/>
        <v>42</v>
      </c>
      <c r="W13" s="332">
        <f t="shared" ca="1" si="3"/>
        <v>45</v>
      </c>
    </row>
    <row r="14" spans="2:23">
      <c r="B14">
        <v>10</v>
      </c>
      <c r="C14" s="50">
        <f t="shared" ca="1" si="1"/>
        <v>2</v>
      </c>
      <c r="D14" s="332">
        <f t="shared" ca="1" si="2"/>
        <v>409</v>
      </c>
      <c r="E14" s="332">
        <f t="shared" ca="1" si="3"/>
        <v>383</v>
      </c>
      <c r="F14" s="332">
        <f t="shared" ca="1" si="3"/>
        <v>317</v>
      </c>
      <c r="G14" s="332">
        <f t="shared" ca="1" si="3"/>
        <v>224</v>
      </c>
      <c r="H14" s="332">
        <f t="shared" ca="1" si="3"/>
        <v>145</v>
      </c>
      <c r="I14" s="332">
        <f t="shared" ca="1" si="3"/>
        <v>106</v>
      </c>
      <c r="J14" s="332">
        <f t="shared" ca="1" si="3"/>
        <v>86</v>
      </c>
      <c r="K14" s="332">
        <f t="shared" ca="1" si="3"/>
        <v>71</v>
      </c>
      <c r="L14" s="332">
        <f t="shared" ca="1" si="3"/>
        <v>59</v>
      </c>
      <c r="M14" s="332">
        <f t="shared" ca="1" si="3"/>
        <v>53</v>
      </c>
      <c r="N14" s="332">
        <f t="shared" ca="1" si="3"/>
        <v>45</v>
      </c>
      <c r="O14" s="332">
        <f t="shared" ca="1" si="3"/>
        <v>33</v>
      </c>
      <c r="P14" s="332">
        <f t="shared" ca="1" si="3"/>
        <v>29</v>
      </c>
      <c r="Q14" s="332">
        <f t="shared" ca="1" si="3"/>
        <v>29</v>
      </c>
      <c r="R14" s="332">
        <f t="shared" ca="1" si="3"/>
        <v>29</v>
      </c>
      <c r="S14" s="332">
        <f t="shared" ca="1" si="3"/>
        <v>30</v>
      </c>
      <c r="T14" s="332">
        <f t="shared" ca="1" si="3"/>
        <v>32</v>
      </c>
      <c r="U14" s="332">
        <f t="shared" ca="1" si="3"/>
        <v>33</v>
      </c>
      <c r="V14" s="332">
        <f t="shared" ca="1" si="3"/>
        <v>34</v>
      </c>
      <c r="W14" s="332">
        <f t="shared" ca="1" si="3"/>
        <v>37</v>
      </c>
    </row>
    <row r="15" spans="2:23">
      <c r="B15">
        <v>11</v>
      </c>
      <c r="C15" s="50">
        <f t="shared" ca="1" si="1"/>
        <v>2.5</v>
      </c>
      <c r="D15" s="332">
        <f t="shared" ca="1" si="2"/>
        <v>396</v>
      </c>
      <c r="E15" s="332">
        <f t="shared" ca="1" si="3"/>
        <v>356</v>
      </c>
      <c r="F15" s="332">
        <f t="shared" ca="1" si="3"/>
        <v>264</v>
      </c>
      <c r="G15" s="332">
        <f t="shared" ca="1" si="3"/>
        <v>152</v>
      </c>
      <c r="H15" s="332">
        <f t="shared" ca="1" si="3"/>
        <v>100</v>
      </c>
      <c r="I15" s="332">
        <f t="shared" ca="1" si="3"/>
        <v>73</v>
      </c>
      <c r="J15" s="332">
        <f t="shared" ca="1" si="3"/>
        <v>55</v>
      </c>
      <c r="K15" s="332">
        <f t="shared" ca="1" si="3"/>
        <v>45</v>
      </c>
      <c r="L15" s="332">
        <f t="shared" ca="1" si="3"/>
        <v>37</v>
      </c>
      <c r="M15" s="332">
        <f t="shared" ca="1" si="3"/>
        <v>32</v>
      </c>
      <c r="N15" s="332">
        <f t="shared" ca="1" si="3"/>
        <v>28</v>
      </c>
      <c r="O15" s="332">
        <f t="shared" ca="1" si="3"/>
        <v>21</v>
      </c>
      <c r="P15" s="332">
        <f t="shared" ca="1" si="3"/>
        <v>20</v>
      </c>
      <c r="Q15" s="332">
        <f t="shared" ca="1" si="3"/>
        <v>20</v>
      </c>
      <c r="R15" s="332">
        <f t="shared" ca="1" si="3"/>
        <v>20</v>
      </c>
      <c r="S15" s="332">
        <f t="shared" ca="1" si="3"/>
        <v>21</v>
      </c>
      <c r="T15" s="332">
        <f t="shared" ca="1" si="3"/>
        <v>22</v>
      </c>
      <c r="U15" s="332">
        <f t="shared" ca="1" si="3"/>
        <v>24</v>
      </c>
      <c r="V15" s="332">
        <f t="shared" ca="1" si="3"/>
        <v>25</v>
      </c>
      <c r="W15" s="332">
        <f t="shared" ca="1" si="3"/>
        <v>26</v>
      </c>
    </row>
    <row r="16" spans="2:23">
      <c r="B16">
        <v>12</v>
      </c>
      <c r="C16" s="50">
        <f t="shared" ca="1" si="1"/>
        <v>3</v>
      </c>
      <c r="D16" s="332">
        <f t="shared" ca="1" si="2"/>
        <v>370</v>
      </c>
      <c r="E16" s="332">
        <f t="shared" ca="1" si="3"/>
        <v>304</v>
      </c>
      <c r="F16" s="332">
        <f t="shared" ca="1" si="3"/>
        <v>211</v>
      </c>
      <c r="G16" s="332">
        <f t="shared" ca="1" si="3"/>
        <v>95</v>
      </c>
      <c r="H16" s="332">
        <f t="shared" ca="1" si="3"/>
        <v>63</v>
      </c>
      <c r="I16" s="332">
        <f t="shared" ca="1" si="3"/>
        <v>44</v>
      </c>
      <c r="J16" s="332">
        <f t="shared" ca="1" si="3"/>
        <v>30</v>
      </c>
      <c r="K16" s="332">
        <f t="shared" ca="1" si="3"/>
        <v>25</v>
      </c>
      <c r="L16" s="332">
        <f t="shared" ca="1" si="3"/>
        <v>21</v>
      </c>
      <c r="M16" s="332">
        <f t="shared" ca="1" si="3"/>
        <v>17</v>
      </c>
      <c r="N16" s="332">
        <f t="shared" ca="1" si="3"/>
        <v>16</v>
      </c>
      <c r="O16" s="332">
        <f t="shared" ca="1" si="3"/>
        <v>13</v>
      </c>
      <c r="P16" s="332">
        <f t="shared" ca="1" si="3"/>
        <v>12</v>
      </c>
      <c r="Q16" s="332">
        <f t="shared" ca="1" si="3"/>
        <v>12</v>
      </c>
      <c r="R16" s="332">
        <f t="shared" ca="1" si="3"/>
        <v>13</v>
      </c>
      <c r="S16" s="332">
        <f t="shared" ca="1" si="3"/>
        <v>13</v>
      </c>
      <c r="T16" s="332">
        <f t="shared" ca="1" si="3"/>
        <v>15</v>
      </c>
      <c r="U16" s="332">
        <f t="shared" ca="1" si="3"/>
        <v>16</v>
      </c>
      <c r="V16" s="332">
        <f t="shared" ca="1" si="3"/>
        <v>17</v>
      </c>
      <c r="W16" s="332">
        <f t="shared" ca="1" si="3"/>
        <v>19</v>
      </c>
    </row>
    <row r="17" spans="2:28">
      <c r="B17">
        <v>13</v>
      </c>
      <c r="C17" s="50">
        <f t="shared" ca="1" si="1"/>
        <v>3.5</v>
      </c>
      <c r="D17" s="332">
        <f t="shared" ca="1" si="2"/>
        <v>343</v>
      </c>
      <c r="E17" s="332">
        <f t="shared" ca="1" si="3"/>
        <v>271</v>
      </c>
      <c r="F17" s="332">
        <f t="shared" ca="1" si="3"/>
        <v>165</v>
      </c>
      <c r="G17" s="332">
        <f t="shared" ca="1" si="3"/>
        <v>63</v>
      </c>
      <c r="H17" s="332">
        <f t="shared" ca="1" si="3"/>
        <v>40</v>
      </c>
      <c r="I17" s="332">
        <f t="shared" ca="1" si="3"/>
        <v>26</v>
      </c>
      <c r="J17" s="332">
        <f t="shared" ca="1" si="3"/>
        <v>19</v>
      </c>
      <c r="K17" s="332">
        <f t="shared" ca="1" si="3"/>
        <v>15</v>
      </c>
      <c r="L17" s="332">
        <f t="shared" ca="1" si="3"/>
        <v>13</v>
      </c>
      <c r="M17" s="332">
        <f t="shared" ca="1" si="3"/>
        <v>12</v>
      </c>
      <c r="N17" s="332">
        <f t="shared" ca="1" si="3"/>
        <v>11</v>
      </c>
      <c r="O17" s="332">
        <f t="shared" ca="1" si="3"/>
        <v>9.8000000000000007</v>
      </c>
      <c r="P17" s="332">
        <f t="shared" ca="1" si="3"/>
        <v>9.1</v>
      </c>
      <c r="Q17" s="332">
        <f t="shared" ca="1" si="3"/>
        <v>8.8000000000000007</v>
      </c>
      <c r="R17" s="332">
        <f t="shared" ca="1" si="3"/>
        <v>8.8000000000000007</v>
      </c>
      <c r="S17" s="332">
        <f t="shared" ca="1" si="3"/>
        <v>9.4</v>
      </c>
      <c r="T17" s="332">
        <f t="shared" ca="1" si="3"/>
        <v>11</v>
      </c>
      <c r="U17" s="332">
        <f t="shared" ca="1" si="3"/>
        <v>12</v>
      </c>
      <c r="V17" s="332">
        <f t="shared" ca="1" si="3"/>
        <v>13</v>
      </c>
      <c r="W17" s="332">
        <f t="shared" ca="1" si="3"/>
        <v>15</v>
      </c>
    </row>
    <row r="18" spans="2:28">
      <c r="B18">
        <v>14</v>
      </c>
      <c r="C18" s="50">
        <f t="shared" ca="1" si="1"/>
        <v>4</v>
      </c>
      <c r="D18" s="332">
        <f t="shared" ca="1" si="2"/>
        <v>317</v>
      </c>
      <c r="E18" s="332">
        <f t="shared" ca="1" si="3"/>
        <v>238</v>
      </c>
      <c r="F18" s="332">
        <f t="shared" ca="1" si="3"/>
        <v>132</v>
      </c>
      <c r="G18" s="332">
        <f t="shared" ca="1" si="3"/>
        <v>45</v>
      </c>
      <c r="H18" s="332">
        <f t="shared" ca="1" si="3"/>
        <v>24</v>
      </c>
      <c r="I18" s="332">
        <f t="shared" ca="1" si="3"/>
        <v>16</v>
      </c>
      <c r="J18" s="332">
        <f t="shared" ca="1" si="3"/>
        <v>13</v>
      </c>
      <c r="K18" s="332">
        <f t="shared" ca="1" si="3"/>
        <v>1</v>
      </c>
      <c r="L18" s="332">
        <f t="shared" ca="1" si="3"/>
        <v>9.6</v>
      </c>
      <c r="M18" s="332">
        <f t="shared" ca="1" si="3"/>
        <v>9</v>
      </c>
      <c r="N18" s="332">
        <f t="shared" ca="1" si="3"/>
        <v>8.4</v>
      </c>
      <c r="O18" s="332">
        <f t="shared" ca="1" si="3"/>
        <v>7.5</v>
      </c>
      <c r="P18" s="332">
        <f t="shared" ca="1" si="3"/>
        <v>7.4</v>
      </c>
      <c r="Q18" s="332">
        <f t="shared" ca="1" si="3"/>
        <v>7.4</v>
      </c>
      <c r="R18" s="332">
        <f t="shared" ca="1" si="3"/>
        <v>7.5</v>
      </c>
      <c r="S18" s="332">
        <f t="shared" ca="1" si="3"/>
        <v>7.9</v>
      </c>
      <c r="T18" s="332">
        <f t="shared" ca="1" si="3"/>
        <v>8.6</v>
      </c>
      <c r="U18" s="332">
        <f t="shared" ca="1" si="3"/>
        <v>9.4</v>
      </c>
      <c r="V18" s="332">
        <f t="shared" ca="1" si="3"/>
        <v>11</v>
      </c>
      <c r="W18" s="332">
        <f t="shared" ca="1" si="3"/>
        <v>12</v>
      </c>
    </row>
    <row r="19" spans="2:28">
      <c r="B19">
        <v>15</v>
      </c>
      <c r="C19" s="50">
        <f t="shared" ca="1" si="1"/>
        <v>4.5</v>
      </c>
      <c r="D19" s="332">
        <f t="shared" ca="1" si="2"/>
        <v>297</v>
      </c>
      <c r="E19" s="332">
        <f t="shared" ca="1" si="3"/>
        <v>211</v>
      </c>
      <c r="F19" s="332">
        <f t="shared" ca="1" si="3"/>
        <v>106</v>
      </c>
      <c r="G19" s="332">
        <f t="shared" ca="1" si="3"/>
        <v>33</v>
      </c>
      <c r="H19" s="332">
        <f t="shared" ca="1" si="3"/>
        <v>17</v>
      </c>
      <c r="I19" s="332">
        <f t="shared" ca="1" si="3"/>
        <v>11</v>
      </c>
      <c r="J19" s="332">
        <f t="shared" ca="1" si="3"/>
        <v>9.1999999999999993</v>
      </c>
      <c r="K19" s="332">
        <f t="shared" ca="1" si="3"/>
        <v>7.9</v>
      </c>
      <c r="L19" s="332">
        <f t="shared" ca="1" si="3"/>
        <v>7.3</v>
      </c>
      <c r="M19" s="332">
        <f t="shared" ref="M19:W20" ca="1" si="4">OFFSET($B$35,MATCH($C$4,$B$36:$B$161,0)+$B19,M$3)</f>
        <v>6.6</v>
      </c>
      <c r="N19" s="332">
        <f t="shared" ca="1" si="4"/>
        <v>6.3</v>
      </c>
      <c r="O19" s="332">
        <f t="shared" ca="1" si="4"/>
        <v>6.1</v>
      </c>
      <c r="P19" s="332">
        <f t="shared" ca="1" si="4"/>
        <v>6.1</v>
      </c>
      <c r="Q19" s="332">
        <f t="shared" ca="1" si="4"/>
        <v>6.2</v>
      </c>
      <c r="R19" s="332">
        <f t="shared" ca="1" si="4"/>
        <v>6.5</v>
      </c>
      <c r="S19" s="332">
        <f t="shared" ca="1" si="4"/>
        <v>6.7</v>
      </c>
      <c r="T19" s="332">
        <f t="shared" ca="1" si="4"/>
        <v>7.1</v>
      </c>
      <c r="U19" s="332">
        <f t="shared" ca="1" si="4"/>
        <v>7.7</v>
      </c>
      <c r="V19" s="332">
        <f t="shared" ca="1" si="4"/>
        <v>8.6999999999999993</v>
      </c>
      <c r="W19" s="332">
        <f t="shared" ca="1" si="4"/>
        <v>9.6</v>
      </c>
    </row>
    <row r="20" spans="2:28">
      <c r="B20">
        <v>16</v>
      </c>
      <c r="C20" s="50">
        <f t="shared" ca="1" si="1"/>
        <v>5</v>
      </c>
      <c r="D20" s="332">
        <f t="shared" ca="1" si="2"/>
        <v>277</v>
      </c>
      <c r="E20" s="332">
        <f t="shared" ref="E20:S20" ca="1" si="5">OFFSET($B$35,MATCH($C$4,$B$36:$B$161,0)+$B20,E$3)</f>
        <v>185</v>
      </c>
      <c r="F20" s="332">
        <f t="shared" ca="1" si="5"/>
        <v>79</v>
      </c>
      <c r="G20" s="332">
        <f t="shared" ca="1" si="5"/>
        <v>24</v>
      </c>
      <c r="H20" s="332">
        <f t="shared" ca="1" si="5"/>
        <v>13</v>
      </c>
      <c r="I20" s="332">
        <f t="shared" ca="1" si="5"/>
        <v>8.3000000000000007</v>
      </c>
      <c r="J20" s="332">
        <f t="shared" ca="1" si="5"/>
        <v>7</v>
      </c>
      <c r="K20" s="332">
        <f t="shared" ca="1" si="5"/>
        <v>6.3</v>
      </c>
      <c r="L20" s="332">
        <f t="shared" ca="1" si="5"/>
        <v>5.7</v>
      </c>
      <c r="M20" s="332">
        <f t="shared" ca="1" si="5"/>
        <v>5.0999999999999996</v>
      </c>
      <c r="N20" s="332">
        <f t="shared" ca="1" si="5"/>
        <v>5</v>
      </c>
      <c r="O20" s="332">
        <f t="shared" ca="1" si="5"/>
        <v>5</v>
      </c>
      <c r="P20" s="332">
        <f t="shared" ca="1" si="5"/>
        <v>5.0999999999999996</v>
      </c>
      <c r="Q20" s="332">
        <f t="shared" ca="1" si="5"/>
        <v>5.4</v>
      </c>
      <c r="R20" s="332">
        <f t="shared" ca="1" si="5"/>
        <v>5.5</v>
      </c>
      <c r="S20" s="332">
        <f t="shared" ca="1" si="5"/>
        <v>5.8</v>
      </c>
      <c r="T20" s="332">
        <f t="shared" ca="1" si="4"/>
        <v>6.1</v>
      </c>
      <c r="U20" s="332">
        <f t="shared" ca="1" si="4"/>
        <v>6.3</v>
      </c>
      <c r="V20" s="332">
        <f t="shared" ca="1" si="4"/>
        <v>6.9</v>
      </c>
      <c r="W20" s="332">
        <f t="shared" ca="1" si="4"/>
        <v>7.7</v>
      </c>
    </row>
    <row r="21" spans="2:28">
      <c r="B21">
        <v>17</v>
      </c>
      <c r="C21" s="50">
        <f t="shared" ca="1" si="1"/>
        <v>5.5</v>
      </c>
      <c r="D21" s="332">
        <f t="shared" ca="1" si="2"/>
        <v>257</v>
      </c>
      <c r="E21" s="332">
        <f t="shared" ref="E21:M21" ca="1" si="6">OFFSET($B$35,MATCH($C$4,$B$36:$B$161,0)+$B21,E$3)</f>
        <v>161</v>
      </c>
      <c r="F21" s="332">
        <f t="shared" ca="1" si="6"/>
        <v>59</v>
      </c>
      <c r="G21" s="332">
        <f t="shared" ca="1" si="6"/>
        <v>19</v>
      </c>
      <c r="H21" s="332">
        <f t="shared" ca="1" si="6"/>
        <v>9.9</v>
      </c>
      <c r="I21" s="332">
        <f t="shared" ca="1" si="6"/>
        <v>7.1</v>
      </c>
      <c r="J21" s="332">
        <f t="shared" ca="1" si="6"/>
        <v>5.7</v>
      </c>
      <c r="K21" s="332">
        <f t="shared" ca="1" si="6"/>
        <v>5</v>
      </c>
      <c r="L21" s="332">
        <f t="shared" ca="1" si="6"/>
        <v>4.5999999999999996</v>
      </c>
      <c r="M21" s="332">
        <f t="shared" ca="1" si="6"/>
        <v>4.2</v>
      </c>
      <c r="N21" s="30"/>
      <c r="O21" s="30"/>
      <c r="P21" s="30"/>
      <c r="Q21" s="30"/>
      <c r="R21" s="30"/>
      <c r="S21" s="30"/>
      <c r="T21" s="30"/>
      <c r="U21" s="30"/>
      <c r="V21" s="30"/>
      <c r="W21" s="30"/>
    </row>
    <row r="22" spans="2:28">
      <c r="B22">
        <v>18</v>
      </c>
      <c r="C22" s="50">
        <f t="shared" ca="1" si="1"/>
        <v>6</v>
      </c>
      <c r="D22" s="332">
        <f t="shared" ca="1" si="2"/>
        <v>244</v>
      </c>
      <c r="E22" s="332">
        <f t="shared" ref="E22:L22" ca="1" si="7">OFFSET($B$35,MATCH($C$4,$B$36:$B$161,0)+$B22,E$3)</f>
        <v>140</v>
      </c>
      <c r="F22" s="332">
        <f t="shared" ca="1" si="7"/>
        <v>46</v>
      </c>
      <c r="G22" s="332">
        <f t="shared" ca="1" si="7"/>
        <v>13</v>
      </c>
      <c r="H22" s="332">
        <f t="shared" ca="1" si="7"/>
        <v>7.7</v>
      </c>
      <c r="I22" s="332">
        <f t="shared" ca="1" si="7"/>
        <v>5.7</v>
      </c>
      <c r="J22" s="332">
        <f t="shared" ca="1" si="7"/>
        <v>4.8</v>
      </c>
      <c r="K22" s="332">
        <f t="shared" ca="1" si="7"/>
        <v>4.0999999999999996</v>
      </c>
      <c r="L22" s="332">
        <f t="shared" ca="1" si="7"/>
        <v>3.8</v>
      </c>
      <c r="M22" s="30"/>
      <c r="N22" s="30"/>
      <c r="O22" s="30"/>
      <c r="P22" s="30"/>
      <c r="Q22" s="30"/>
      <c r="R22" s="30"/>
      <c r="S22" s="30"/>
      <c r="T22" s="30"/>
      <c r="U22" s="30"/>
      <c r="V22" s="30"/>
      <c r="W22" s="30"/>
    </row>
    <row r="23" spans="2:28">
      <c r="B23">
        <v>19</v>
      </c>
      <c r="C23" s="50">
        <f t="shared" ca="1" si="1"/>
        <v>6.5</v>
      </c>
      <c r="D23" s="332">
        <f t="shared" ref="D23:K34" ca="1" si="8">OFFSET($B$35,MATCH($C$4,$B$36:$B$161,0)+$B23,D$3)</f>
        <v>231</v>
      </c>
      <c r="E23" s="332">
        <f t="shared" ca="1" si="8"/>
        <v>122</v>
      </c>
      <c r="F23" s="332">
        <f t="shared" ca="1" si="8"/>
        <v>37</v>
      </c>
      <c r="G23" s="332">
        <f t="shared" ca="1" si="8"/>
        <v>11</v>
      </c>
      <c r="H23" s="332">
        <f t="shared" ca="1" si="8"/>
        <v>5.9</v>
      </c>
      <c r="I23" s="332">
        <f t="shared" ca="1" si="8"/>
        <v>4.5999999999999996</v>
      </c>
      <c r="J23" s="332">
        <f t="shared" ca="1" si="8"/>
        <v>3.7</v>
      </c>
      <c r="K23" s="332">
        <f t="shared" ca="1" si="8"/>
        <v>3.2</v>
      </c>
      <c r="L23" s="30"/>
      <c r="M23" s="30"/>
      <c r="N23" s="30"/>
      <c r="O23" s="30"/>
      <c r="P23" s="30"/>
      <c r="Q23" s="30"/>
      <c r="R23" s="30"/>
      <c r="S23" s="30"/>
      <c r="T23" s="30"/>
      <c r="U23" s="30"/>
      <c r="V23" s="30"/>
      <c r="W23" s="30"/>
    </row>
    <row r="24" spans="2:28">
      <c r="B24">
        <v>20</v>
      </c>
      <c r="C24" s="50">
        <f t="shared" ca="1" si="1"/>
        <v>7</v>
      </c>
      <c r="D24" s="332">
        <f t="shared" ca="1" si="8"/>
        <v>218</v>
      </c>
      <c r="E24" s="332">
        <f t="shared" ca="1" si="8"/>
        <v>106</v>
      </c>
      <c r="F24" s="332">
        <f t="shared" ca="1" si="8"/>
        <v>32</v>
      </c>
      <c r="G24" s="332">
        <f t="shared" ca="1" si="8"/>
        <v>9</v>
      </c>
      <c r="H24" s="332">
        <f t="shared" ca="1" si="8"/>
        <v>5</v>
      </c>
      <c r="I24" s="332">
        <f t="shared" ca="1" si="8"/>
        <v>3.8</v>
      </c>
      <c r="J24" s="332">
        <f t="shared" ca="1" si="8"/>
        <v>3.2</v>
      </c>
      <c r="K24" s="332">
        <f t="shared" ca="1" si="8"/>
        <v>2.6</v>
      </c>
      <c r="L24" s="30"/>
      <c r="M24" s="30"/>
      <c r="N24" s="30"/>
      <c r="O24" s="30"/>
      <c r="P24" s="30"/>
      <c r="Q24" s="30"/>
      <c r="R24" s="30"/>
      <c r="S24" s="30"/>
      <c r="T24" s="30"/>
      <c r="U24" s="30"/>
      <c r="V24" s="30"/>
      <c r="W24" s="30"/>
    </row>
    <row r="25" spans="2:28">
      <c r="B25">
        <v>21</v>
      </c>
      <c r="C25" s="50">
        <f t="shared" ca="1" si="1"/>
        <v>7.5</v>
      </c>
      <c r="D25" s="332">
        <f t="shared" ca="1" si="8"/>
        <v>205</v>
      </c>
      <c r="E25" s="332">
        <f t="shared" ca="1" si="8"/>
        <v>94</v>
      </c>
      <c r="F25" s="332">
        <f t="shared" ca="1" si="8"/>
        <v>26</v>
      </c>
      <c r="G25" s="332">
        <f t="shared" ca="1" si="8"/>
        <v>7.5</v>
      </c>
      <c r="H25" s="332">
        <f t="shared" ca="1" si="8"/>
        <v>4.4000000000000004</v>
      </c>
      <c r="I25" s="332">
        <f t="shared" ca="1" si="8"/>
        <v>3.3</v>
      </c>
      <c r="J25" s="332">
        <f t="shared" ca="1" si="8"/>
        <v>2.8</v>
      </c>
      <c r="K25" s="30"/>
      <c r="L25" s="30"/>
      <c r="M25" s="30"/>
      <c r="N25" s="30"/>
      <c r="O25" s="30"/>
      <c r="P25" s="30"/>
      <c r="Q25" s="30"/>
      <c r="R25" s="30"/>
      <c r="S25" s="30"/>
      <c r="T25" s="30"/>
      <c r="U25" s="30"/>
      <c r="V25" s="30"/>
      <c r="W25" s="30"/>
      <c r="AA25" s="48" t="str">
        <f t="shared" ref="AA25:AB27" ca="1" si="9">OFFSET($B$35,MATCH($C$4,$B$36:$B$161,0)+$B26,Q$3)</f>
        <v>Q0</v>
      </c>
      <c r="AB25" s="49">
        <f t="shared" ca="1" si="9"/>
        <v>0.08</v>
      </c>
    </row>
    <row r="26" spans="2:28">
      <c r="B26">
        <v>22</v>
      </c>
      <c r="C26" s="50">
        <f t="shared" ca="1" si="1"/>
        <v>8</v>
      </c>
      <c r="D26" s="332">
        <f t="shared" ca="1" si="8"/>
        <v>193</v>
      </c>
      <c r="E26" s="332">
        <f t="shared" ca="1" si="8"/>
        <v>82</v>
      </c>
      <c r="F26" s="332">
        <f t="shared" ca="1" si="8"/>
        <v>22</v>
      </c>
      <c r="G26" s="332">
        <f t="shared" ca="1" si="8"/>
        <v>6.3</v>
      </c>
      <c r="H26" s="332">
        <f t="shared" ca="1" si="8"/>
        <v>3.7</v>
      </c>
      <c r="I26" s="332">
        <f t="shared" ca="1" si="8"/>
        <v>2.9</v>
      </c>
      <c r="J26" s="332">
        <f t="shared" ca="1" si="8"/>
        <v>2.4</v>
      </c>
      <c r="K26" s="30"/>
      <c r="L26" s="30"/>
      <c r="M26" s="30"/>
      <c r="N26" s="30"/>
      <c r="O26" s="30"/>
      <c r="P26" s="30"/>
      <c r="S26" s="30"/>
      <c r="T26" s="30"/>
      <c r="U26" s="30"/>
      <c r="V26" s="30"/>
      <c r="W26" s="30"/>
      <c r="AA26" s="50" t="str">
        <f t="shared" ca="1" si="9"/>
        <v>S1</v>
      </c>
      <c r="AB26" s="51">
        <f t="shared" ca="1" si="9"/>
        <v>1.55</v>
      </c>
    </row>
    <row r="27" spans="2:28">
      <c r="B27">
        <v>23</v>
      </c>
      <c r="C27" s="50">
        <f t="shared" ca="1" si="1"/>
        <v>8.5</v>
      </c>
      <c r="D27" s="332">
        <f t="shared" ca="1" si="8"/>
        <v>184</v>
      </c>
      <c r="E27" s="332">
        <f t="shared" ca="1" si="8"/>
        <v>74</v>
      </c>
      <c r="F27" s="332">
        <f t="shared" ca="1" si="8"/>
        <v>19</v>
      </c>
      <c r="G27" s="332">
        <f t="shared" ca="1" si="8"/>
        <v>5.3</v>
      </c>
      <c r="H27" s="332">
        <f t="shared" ca="1" si="8"/>
        <v>3.2</v>
      </c>
      <c r="I27" s="332">
        <f t="shared" ca="1" si="8"/>
        <v>2.5</v>
      </c>
      <c r="J27" s="332">
        <f t="shared" ca="1" si="8"/>
        <v>2.1</v>
      </c>
      <c r="K27" s="30"/>
      <c r="L27" s="30"/>
      <c r="M27" s="30"/>
      <c r="N27" s="30"/>
      <c r="O27" s="30"/>
      <c r="P27" s="30"/>
      <c r="S27" s="30"/>
      <c r="T27" s="30"/>
      <c r="U27" s="30"/>
      <c r="V27" s="30"/>
      <c r="W27" s="30"/>
      <c r="AA27" s="52" t="str">
        <f t="shared" ca="1" si="9"/>
        <v>S2</v>
      </c>
      <c r="AB27" s="53">
        <f t="shared" ca="1" si="9"/>
        <v>3.03</v>
      </c>
    </row>
    <row r="28" spans="2:28">
      <c r="B28">
        <v>24</v>
      </c>
      <c r="C28" s="50">
        <f t="shared" ca="1" si="1"/>
        <v>9</v>
      </c>
      <c r="D28" s="332">
        <f t="shared" ca="1" si="8"/>
        <v>174</v>
      </c>
      <c r="E28" s="332">
        <f t="shared" ca="1" si="8"/>
        <v>66</v>
      </c>
      <c r="F28" s="332">
        <f t="shared" ca="1" si="8"/>
        <v>16</v>
      </c>
      <c r="G28" s="332">
        <f t="shared" ca="1" si="8"/>
        <v>4.5999999999999996</v>
      </c>
      <c r="H28" s="332">
        <f t="shared" ca="1" si="8"/>
        <v>2.8</v>
      </c>
      <c r="I28" s="332">
        <f t="shared" ca="1" si="8"/>
        <v>2.1</v>
      </c>
      <c r="J28" s="30"/>
      <c r="K28" s="30"/>
      <c r="L28" s="30"/>
      <c r="M28" s="30"/>
      <c r="N28" s="30"/>
      <c r="O28" s="30"/>
      <c r="P28" s="30"/>
      <c r="S28" s="30"/>
      <c r="T28" s="30"/>
      <c r="U28" s="30"/>
      <c r="V28" s="30"/>
      <c r="W28" s="30"/>
    </row>
    <row r="29" spans="2:28">
      <c r="B29">
        <v>25</v>
      </c>
      <c r="C29" s="50">
        <f t="shared" ca="1" si="1"/>
        <v>9.5</v>
      </c>
      <c r="D29" s="332">
        <f t="shared" ca="1" si="8"/>
        <v>169</v>
      </c>
      <c r="E29" s="332">
        <f t="shared" ca="1" si="8"/>
        <v>59</v>
      </c>
      <c r="F29" s="332">
        <f t="shared" ca="1" si="8"/>
        <v>13</v>
      </c>
      <c r="G29" s="332">
        <f t="shared" ca="1" si="8"/>
        <v>4.0999999999999996</v>
      </c>
      <c r="H29" s="332">
        <f t="shared" ca="1" si="8"/>
        <v>2.5</v>
      </c>
      <c r="I29" s="332">
        <f t="shared" ca="1" si="8"/>
        <v>2</v>
      </c>
      <c r="J29" s="30"/>
      <c r="K29" s="30"/>
      <c r="L29" s="30"/>
      <c r="M29" s="30"/>
      <c r="N29" s="30"/>
      <c r="O29" s="30"/>
      <c r="P29" s="30"/>
      <c r="Q29" s="30"/>
      <c r="R29" s="30"/>
      <c r="S29" s="30"/>
      <c r="T29" s="30"/>
      <c r="U29" s="30"/>
      <c r="V29" s="30"/>
      <c r="W29" s="30"/>
    </row>
    <row r="30" spans="2:28">
      <c r="B30">
        <v>26</v>
      </c>
      <c r="C30" s="50">
        <f t="shared" ca="1" si="1"/>
        <v>10</v>
      </c>
      <c r="D30" s="332">
        <f t="shared" ca="1" si="8"/>
        <v>164</v>
      </c>
      <c r="E30" s="332">
        <f t="shared" ca="1" si="8"/>
        <v>53</v>
      </c>
      <c r="F30" s="332">
        <f t="shared" ca="1" si="8"/>
        <v>12</v>
      </c>
      <c r="G30" s="332">
        <f t="shared" ca="1" si="8"/>
        <v>3.7</v>
      </c>
      <c r="H30" s="332">
        <f t="shared" ca="1" si="8"/>
        <v>2.2000000000000002</v>
      </c>
      <c r="I30" s="332">
        <f t="shared" ca="1" si="8"/>
        <v>1.7</v>
      </c>
      <c r="J30" s="30"/>
      <c r="K30" s="30"/>
      <c r="L30" s="30"/>
      <c r="M30" s="30"/>
      <c r="N30" s="30"/>
      <c r="O30" s="30"/>
      <c r="P30" s="30"/>
      <c r="Q30" s="30"/>
      <c r="R30" s="30"/>
      <c r="S30" s="30"/>
      <c r="T30" s="30"/>
      <c r="U30" s="30"/>
      <c r="V30" s="30"/>
      <c r="W30" s="30"/>
    </row>
    <row r="31" spans="2:28">
      <c r="B31">
        <v>27</v>
      </c>
      <c r="C31" s="50">
        <f t="shared" ca="1" si="1"/>
        <v>10.5</v>
      </c>
      <c r="D31" s="332">
        <f t="shared" ca="1" si="8"/>
        <v>158</v>
      </c>
      <c r="E31" s="332">
        <f t="shared" ca="1" si="8"/>
        <v>49</v>
      </c>
      <c r="F31" s="332">
        <f t="shared" ca="1" si="8"/>
        <v>11</v>
      </c>
      <c r="G31" s="332">
        <f t="shared" ca="1" si="8"/>
        <v>3.3</v>
      </c>
      <c r="H31" s="332">
        <f t="shared" ca="1" si="8"/>
        <v>2.1</v>
      </c>
      <c r="I31" s="332">
        <f t="shared" ca="1" si="8"/>
        <v>1.7</v>
      </c>
      <c r="J31" s="30"/>
      <c r="K31" s="30"/>
      <c r="L31" s="30"/>
      <c r="M31" s="30"/>
      <c r="N31" s="30"/>
      <c r="O31" s="30"/>
      <c r="P31" s="30"/>
      <c r="Q31" s="30"/>
      <c r="R31" s="30"/>
      <c r="S31" s="30"/>
      <c r="T31" s="30"/>
      <c r="U31" s="30"/>
      <c r="V31" s="30"/>
      <c r="W31" s="30"/>
    </row>
    <row r="32" spans="2:28">
      <c r="B32">
        <v>28</v>
      </c>
      <c r="C32" s="50">
        <f t="shared" ca="1" si="1"/>
        <v>11</v>
      </c>
      <c r="D32" s="332">
        <f t="shared" ca="1" si="8"/>
        <v>149</v>
      </c>
      <c r="E32" s="332">
        <f t="shared" ca="1" si="8"/>
        <v>41</v>
      </c>
      <c r="F32" s="332">
        <f t="shared" ca="1" si="8"/>
        <v>8.4</v>
      </c>
      <c r="G32" s="332">
        <f t="shared" ca="1" si="8"/>
        <v>2.6</v>
      </c>
      <c r="H32" s="332">
        <f t="shared" ca="1" si="8"/>
        <v>1.7</v>
      </c>
      <c r="I32" s="332">
        <f t="shared" ca="1" si="8"/>
        <v>0</v>
      </c>
      <c r="J32" s="30"/>
      <c r="K32" s="30"/>
      <c r="L32" s="30"/>
      <c r="M32" s="30"/>
      <c r="N32" s="30"/>
      <c r="O32" s="30"/>
      <c r="P32" s="30"/>
      <c r="Q32" s="30"/>
      <c r="R32" s="30"/>
      <c r="S32" s="30"/>
      <c r="T32" s="30"/>
      <c r="U32" s="30"/>
      <c r="V32" s="30"/>
      <c r="W32" s="30"/>
    </row>
    <row r="33" spans="2:23">
      <c r="B33">
        <v>29</v>
      </c>
      <c r="C33" s="50">
        <f t="shared" ca="1" si="1"/>
        <v>11.5</v>
      </c>
      <c r="D33" s="332">
        <f t="shared" ca="1" si="8"/>
        <v>149</v>
      </c>
      <c r="E33" s="332">
        <f t="shared" ca="1" si="8"/>
        <v>41</v>
      </c>
      <c r="F33" s="332">
        <f t="shared" ca="1" si="8"/>
        <v>8.4</v>
      </c>
      <c r="G33" s="332">
        <f t="shared" ca="1" si="8"/>
        <v>2.6</v>
      </c>
      <c r="H33" s="332">
        <f t="shared" ca="1" si="8"/>
        <v>1.7</v>
      </c>
      <c r="I33" s="30"/>
      <c r="J33" s="30"/>
      <c r="K33" s="30"/>
      <c r="L33" s="30"/>
      <c r="M33" s="30"/>
      <c r="N33" s="30"/>
      <c r="O33" s="30"/>
      <c r="P33" s="30"/>
      <c r="Q33" s="30"/>
      <c r="R33" s="30"/>
      <c r="S33" s="30"/>
      <c r="T33" s="30"/>
      <c r="U33" s="30"/>
      <c r="V33" s="30"/>
      <c r="W33" s="30"/>
    </row>
    <row r="34" spans="2:23">
      <c r="B34">
        <v>30</v>
      </c>
      <c r="C34" s="52">
        <f t="shared" ca="1" si="1"/>
        <v>12</v>
      </c>
      <c r="D34" s="332">
        <f t="shared" ca="1" si="8"/>
        <v>145</v>
      </c>
      <c r="E34" s="332">
        <f t="shared" ca="1" si="8"/>
        <v>37</v>
      </c>
      <c r="F34" s="332">
        <f t="shared" ca="1" si="8"/>
        <v>7.7</v>
      </c>
      <c r="G34" s="332">
        <f t="shared" ca="1" si="8"/>
        <v>2.5</v>
      </c>
      <c r="H34" s="332">
        <f t="shared" ca="1" si="8"/>
        <v>1.7</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122" zoomScaleNormal="100" workbookViewId="0">
      <selection activeCell="F127" sqref="F127"/>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3329</v>
      </c>
      <c r="D126" s="686" t="s">
        <v>3327</v>
      </c>
      <c r="E126" s="686" t="s">
        <v>3328</v>
      </c>
      <c r="F126" s="661" t="s">
        <v>3303</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3330</v>
      </c>
      <c r="D577" s="687" t="s">
        <v>3332</v>
      </c>
      <c r="E577" s="687" t="s">
        <v>3333</v>
      </c>
      <c r="F577" s="687" t="s">
        <v>3331</v>
      </c>
    </row>
    <row r="578" spans="2:6" ht="15.75" customHeight="1">
      <c r="B578" s="617" t="str">
        <f t="shared" si="9"/>
        <v>Tilt (degrees)</v>
      </c>
      <c r="C578" s="615" t="s">
        <v>3342</v>
      </c>
      <c r="D578" s="615" t="s">
        <v>3354</v>
      </c>
      <c r="E578" s="615" t="s">
        <v>3353</v>
      </c>
      <c r="F578" s="615" t="s">
        <v>3352</v>
      </c>
    </row>
    <row r="579" spans="2:6" ht="15.75" customHeight="1">
      <c r="B579" s="617" t="str">
        <f t="shared" si="9"/>
        <v>Set installation cost to zero?</v>
      </c>
      <c r="C579" s="615" t="s">
        <v>1745</v>
      </c>
      <c r="D579" s="615" t="s">
        <v>3358</v>
      </c>
      <c r="E579" s="615" t="s">
        <v>3359</v>
      </c>
      <c r="F579" s="615" t="s">
        <v>3360</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3362</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3334</v>
      </c>
      <c r="B143" s="481" t="s">
        <v>3335</v>
      </c>
    </row>
    <row r="144" spans="1:2">
      <c r="B144" s="481" t="s">
        <v>3336</v>
      </c>
    </row>
    <row r="145" spans="1:2">
      <c r="B145" s="481" t="s">
        <v>3337</v>
      </c>
    </row>
    <row r="146" spans="1:2">
      <c r="B146" t="s">
        <v>3338</v>
      </c>
    </row>
    <row r="147" spans="1:2">
      <c r="A147" t="s">
        <v>3355</v>
      </c>
      <c r="B147" t="s">
        <v>3356</v>
      </c>
    </row>
    <row r="148" spans="1:2">
      <c r="B148" t="s">
        <v>3357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2777</v>
      </c>
      <c r="D4" s="404" t="s">
        <v>65</v>
      </c>
      <c r="E4" s="414">
        <v>34</v>
      </c>
      <c r="F4" s="405">
        <v>28.571428571428573</v>
      </c>
      <c r="G4" s="414">
        <v>4</v>
      </c>
      <c r="H4" s="405">
        <v>4</v>
      </c>
      <c r="I4" s="405"/>
      <c r="J4" s="405">
        <v>1</v>
      </c>
      <c r="K4" s="422" t="s">
        <v>1245</v>
      </c>
      <c r="L4" s="405">
        <v>10</v>
      </c>
      <c r="M4" s="405">
        <v>35</v>
      </c>
      <c r="N4" s="405">
        <v>2.5</v>
      </c>
      <c r="O4" s="405">
        <v>3</v>
      </c>
      <c r="P4" s="405">
        <v>0.61599999999999999</v>
      </c>
    </row>
    <row r="5" spans="2:16">
      <c r="B5" s="412" t="s">
        <v>1994</v>
      </c>
      <c r="C5" s="412" t="s">
        <v>3339</v>
      </c>
      <c r="D5" s="412" t="s">
        <v>65</v>
      </c>
      <c r="E5" s="415">
        <v>91</v>
      </c>
      <c r="F5" s="418">
        <v>28.571428571428573</v>
      </c>
      <c r="G5" s="415">
        <v>4</v>
      </c>
      <c r="H5" s="418">
        <v>4</v>
      </c>
      <c r="I5" s="418"/>
      <c r="J5" s="418">
        <v>1</v>
      </c>
      <c r="K5" s="423" t="s">
        <v>1245</v>
      </c>
      <c r="L5" s="418">
        <v>10</v>
      </c>
      <c r="M5" s="418">
        <v>35</v>
      </c>
      <c r="N5" s="418">
        <v>2.5</v>
      </c>
      <c r="O5" s="418">
        <v>3</v>
      </c>
      <c r="P5" s="418">
        <v>0.69000000000000006</v>
      </c>
    </row>
    <row r="6" spans="2:16">
      <c r="B6" s="412" t="s">
        <v>3347</v>
      </c>
      <c r="C6" s="412" t="s">
        <v>3343</v>
      </c>
      <c r="D6" s="412" t="s">
        <v>65</v>
      </c>
      <c r="E6" s="415">
        <v>91</v>
      </c>
      <c r="F6" s="418">
        <v>28.571428571428573</v>
      </c>
      <c r="G6" s="415">
        <v>4</v>
      </c>
      <c r="H6" s="418">
        <v>4</v>
      </c>
      <c r="I6" s="418"/>
      <c r="J6" s="418">
        <v>1</v>
      </c>
      <c r="K6" s="423" t="s">
        <v>1245</v>
      </c>
      <c r="L6" s="418">
        <v>10</v>
      </c>
      <c r="M6" s="418">
        <v>35</v>
      </c>
      <c r="N6" s="418">
        <v>2.5</v>
      </c>
      <c r="O6" s="418">
        <v>3</v>
      </c>
      <c r="P6" s="418">
        <v>0.69000000000000006</v>
      </c>
    </row>
    <row r="7" spans="2:16">
      <c r="B7" s="699" t="s">
        <v>3348</v>
      </c>
      <c r="C7" s="699" t="s">
        <v>3344</v>
      </c>
      <c r="D7" s="699" t="s">
        <v>65</v>
      </c>
      <c r="E7" s="700">
        <v>91</v>
      </c>
      <c r="F7" s="701">
        <v>28.571428571428573</v>
      </c>
      <c r="G7" s="700">
        <v>4</v>
      </c>
      <c r="H7" s="701">
        <v>4</v>
      </c>
      <c r="I7" s="701"/>
      <c r="J7" s="701">
        <v>1</v>
      </c>
      <c r="K7" s="702" t="s">
        <v>1245</v>
      </c>
      <c r="L7" s="701">
        <v>10</v>
      </c>
      <c r="M7" s="701">
        <v>35</v>
      </c>
      <c r="N7" s="701">
        <v>2.5</v>
      </c>
      <c r="O7" s="701">
        <v>3</v>
      </c>
      <c r="P7" s="701">
        <v>0.69000000000000006</v>
      </c>
    </row>
    <row r="8" spans="2:16">
      <c r="B8" s="699" t="s">
        <v>3349</v>
      </c>
      <c r="C8" s="699" t="s">
        <v>3345</v>
      </c>
      <c r="D8" s="699" t="s">
        <v>65</v>
      </c>
      <c r="E8" s="700">
        <v>91</v>
      </c>
      <c r="F8" s="701">
        <v>28.571428571428573</v>
      </c>
      <c r="G8" s="700">
        <v>4</v>
      </c>
      <c r="H8" s="701">
        <v>4</v>
      </c>
      <c r="I8" s="701"/>
      <c r="J8" s="701">
        <v>1</v>
      </c>
      <c r="K8" s="702" t="s">
        <v>1245</v>
      </c>
      <c r="L8" s="701">
        <v>10</v>
      </c>
      <c r="M8" s="701">
        <v>35</v>
      </c>
      <c r="N8" s="701">
        <v>2.5</v>
      </c>
      <c r="O8" s="701">
        <v>3</v>
      </c>
      <c r="P8" s="701">
        <v>0.69000000000000006</v>
      </c>
    </row>
    <row r="9" spans="2:16">
      <c r="B9" s="699" t="s">
        <v>3350</v>
      </c>
      <c r="C9" s="699" t="s">
        <v>3346</v>
      </c>
      <c r="D9" s="699" t="s">
        <v>65</v>
      </c>
      <c r="E9" s="700">
        <v>91</v>
      </c>
      <c r="F9" s="701">
        <v>28.571428571428573</v>
      </c>
      <c r="G9" s="700">
        <v>4</v>
      </c>
      <c r="H9" s="701">
        <v>4</v>
      </c>
      <c r="I9" s="701"/>
      <c r="J9" s="701">
        <v>1</v>
      </c>
      <c r="K9" s="702" t="s">
        <v>1245</v>
      </c>
      <c r="L9" s="701">
        <v>10</v>
      </c>
      <c r="M9" s="701">
        <v>35</v>
      </c>
      <c r="N9" s="701">
        <v>2.5</v>
      </c>
      <c r="O9" s="701">
        <v>3</v>
      </c>
      <c r="P9" s="701">
        <v>0.69000000000000006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2777</v>
      </c>
      <c r="D4" s="625" t="s">
        <v>65</v>
      </c>
      <c r="E4" s="626">
        <v>34</v>
      </c>
      <c r="F4" s="627">
        <v>148.92000000000002</v>
      </c>
      <c r="G4" s="627">
        <v>4254.8571428571431</v>
      </c>
    </row>
    <row r="5" spans="2:7">
      <c r="B5" s="412" t="s">
        <v>1994</v>
      </c>
      <c r="C5" s="412" t="s">
        <v>3339</v>
      </c>
      <c r="D5" s="412" t="s">
        <v>65</v>
      </c>
      <c r="E5" s="415">
        <v>91</v>
      </c>
      <c r="F5" s="418">
        <v>398.58</v>
      </c>
      <c r="G5" s="418">
        <v>11388</v>
      </c>
    </row>
    <row r="6" spans="2:7">
      <c r="B6" s="699" t="s">
        <v>3347</v>
      </c>
      <c r="C6" s="699" t="s">
        <v>3343</v>
      </c>
      <c r="D6" s="699" t="s">
        <v>65</v>
      </c>
      <c r="E6" s="700">
        <v>91</v>
      </c>
      <c r="F6" s="701">
        <v>398.58</v>
      </c>
      <c r="G6" s="701">
        <v>11388</v>
      </c>
    </row>
    <row r="7" spans="2:7">
      <c r="B7" s="699" t="s">
        <v>3348</v>
      </c>
      <c r="C7" s="699" t="s">
        <v>3344</v>
      </c>
      <c r="D7" s="699" t="s">
        <v>65</v>
      </c>
      <c r="E7" s="700">
        <v>91</v>
      </c>
      <c r="F7" s="701">
        <v>398.58</v>
      </c>
      <c r="G7" s="701">
        <v>11388</v>
      </c>
    </row>
    <row r="8" spans="2:7">
      <c r="B8" s="699" t="s">
        <v>3349</v>
      </c>
      <c r="C8" s="699" t="s">
        <v>3345</v>
      </c>
      <c r="D8" s="699" t="s">
        <v>65</v>
      </c>
      <c r="E8" s="700">
        <v>91</v>
      </c>
      <c r="F8" s="701">
        <v>398.58</v>
      </c>
      <c r="G8" s="701">
        <v>11388</v>
      </c>
    </row>
    <row r="9" spans="2:7">
      <c r="B9" s="699" t="s">
        <v>3350</v>
      </c>
      <c r="C9" s="699" t="s">
        <v>3346</v>
      </c>
      <c r="D9" s="699" t="s">
        <v>65</v>
      </c>
      <c r="E9" s="700">
        <v>91</v>
      </c>
      <c r="F9" s="701">
        <v>398.58</v>
      </c>
      <c r="G9" s="701">
        <v>11388</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2777</v>
      </c>
      <c r="D4" s="625" t="s">
        <v>65</v>
      </c>
      <c r="E4" s="626">
        <v>34</v>
      </c>
      <c r="F4" s="627">
        <v>4.3250632009644985</v>
      </c>
      <c r="G4" s="627">
        <v>2.8334624336022238</v>
      </c>
      <c r="H4" s="627">
        <v>5.8538670106767681</v>
      </c>
      <c r="I4" s="627">
        <v>0.65512624947777776</v>
      </c>
      <c r="J4" s="627">
        <v>6</v>
      </c>
      <c r="K4" s="627">
        <v>0.16666666666666666</v>
      </c>
      <c r="L4" s="628">
        <v>0</v>
      </c>
      <c r="M4" s="450"/>
      <c r="N4" s="450"/>
      <c r="O4" s="450" t="s">
        <v>1315</v>
      </c>
      <c r="P4" s="450" t="s">
        <v>1316</v>
      </c>
      <c r="Q4" s="450" t="s">
        <v>1315</v>
      </c>
      <c r="R4" s="450" t="s">
        <v>1316</v>
      </c>
      <c r="S4" s="450">
        <v>148.92000000000002</v>
      </c>
      <c r="T4" s="425">
        <v>398.58</v>
      </c>
    </row>
    <row r="5" spans="2:30">
      <c r="B5" s="412" t="s">
        <v>1994</v>
      </c>
      <c r="C5" s="412" t="s">
        <v>3339</v>
      </c>
      <c r="D5" s="412" t="s">
        <v>65</v>
      </c>
      <c r="E5" s="415">
        <v>91</v>
      </c>
      <c r="F5" s="418">
        <v>13.341418830469525</v>
      </c>
      <c r="G5" s="418">
        <v>8.153314451806823</v>
      </c>
      <c r="H5" s="418">
        <v>18.236146424906536</v>
      </c>
      <c r="I5" s="418">
        <v>0.61112798836552851</v>
      </c>
      <c r="J5" s="418">
        <v>6</v>
      </c>
      <c r="K5" s="418">
        <v>0.16666666666666666</v>
      </c>
      <c r="L5" s="412">
        <v>1</v>
      </c>
      <c r="M5" s="450"/>
      <c r="N5" s="450"/>
      <c r="O5" s="450">
        <f t="shared" ref="O5:O14" si="0">IF($L5=1,$E5,NA())</f>
        <v>91</v>
      </c>
      <c r="P5" s="450" t="e">
        <f t="shared" ref="P5:P14" si="1">IF(AND($L5=0,$L5&lt;&gt;""),$E5,NA())</f>
        <v>#N/A</v>
      </c>
      <c r="Q5" s="450">
        <f t="shared" ref="Q5:Q40" si="2">IF(L5=1,F5,NA())</f>
        <v>13.341418830469525</v>
      </c>
      <c r="R5" s="450" t="e">
        <f t="shared" ref="R5:R14" si="3">IF(P5&lt;&gt;"",F5,NA())</f>
        <v>#N/A</v>
      </c>
      <c r="S5" s="450">
        <v>398.58</v>
      </c>
      <c r="T5" s="425">
        <v>148.92000000000002</v>
      </c>
    </row>
    <row r="6" spans="2:30">
      <c r="B6" s="699" t="s">
        <v>3347</v>
      </c>
      <c r="C6" s="699" t="s">
        <v>3343</v>
      </c>
      <c r="D6" s="699" t="s">
        <v>65</v>
      </c>
      <c r="E6" s="700">
        <v>91</v>
      </c>
      <c r="F6" s="701">
        <v>12.987963135087163</v>
      </c>
      <c r="G6" s="701">
        <v>7.8493488281255841</v>
      </c>
      <c r="H6" s="701">
        <v>17.645694789138208</v>
      </c>
      <c r="I6" s="701">
        <v>0.60435564425960364</v>
      </c>
      <c r="J6" s="701">
        <v>6</v>
      </c>
      <c r="K6" s="701">
        <v>0.16666666666666666</v>
      </c>
      <c r="L6" s="699">
        <v>1</v>
      </c>
      <c r="M6" s="450"/>
      <c r="N6" s="450"/>
      <c r="O6" s="450">
        <f>IF($L6=1,$E6,NA())</f>
        <v>91</v>
      </c>
      <c r="P6" s="450" t="e">
        <f>IF(AND($L6=0,$L6&lt;&gt;""),$E6,NA())</f>
        <v>#N/A</v>
      </c>
      <c r="Q6" s="450">
        <f>IF(L6=1,F6,NA())</f>
        <v>12.987963135087163</v>
      </c>
      <c r="R6" s="450" t="e">
        <f>IF(P6&lt;&gt;"",F6,NA())</f>
        <v>#N/A</v>
      </c>
      <c r="S6" s="450">
        <v>398.58</v>
      </c>
      <c r="T6" s="425">
        <v>586.92000000000007</v>
      </c>
    </row>
    <row r="7" spans="2:30">
      <c r="B7" s="699" t="s">
        <v>3348</v>
      </c>
      <c r="C7" s="699" t="s">
        <v>3344</v>
      </c>
      <c r="D7" s="699" t="s">
        <v>65</v>
      </c>
      <c r="E7" s="700">
        <v>91</v>
      </c>
      <c r="F7" s="701">
        <v>11.602414100488641</v>
      </c>
      <c r="G7" s="701">
        <v>6.6933405717067913</v>
      </c>
      <c r="H7" s="701">
        <v>16.83804353754439</v>
      </c>
      <c r="I7" s="701">
        <v>0.57689206002610249</v>
      </c>
      <c r="J7" s="701">
        <v>6</v>
      </c>
      <c r="K7" s="701">
        <v>0.16666666666666666</v>
      </c>
      <c r="L7" s="699">
        <v>1</v>
      </c>
      <c r="M7" s="450"/>
      <c r="N7" s="450"/>
      <c r="O7" s="450">
        <f>IF($L7=1,$E7,NA())</f>
        <v>91</v>
      </c>
      <c r="P7" s="450" t="e">
        <f>IF(AND($L7=0,$L7&lt;&gt;""),$E7,NA())</f>
        <v>#N/A</v>
      </c>
      <c r="Q7" s="450">
        <f>IF(L7=1,F7,NA())</f>
        <v>11.602414100488641</v>
      </c>
      <c r="R7" s="450" t="e">
        <f>IF(P7&lt;&gt;"",F7,NA())</f>
        <v>#N/A</v>
      </c>
      <c r="S7" s="450">
        <v>398.58</v>
      </c>
    </row>
    <row r="8" spans="2:30">
      <c r="B8" s="699" t="s">
        <v>3349</v>
      </c>
      <c r="C8" s="699" t="s">
        <v>3345</v>
      </c>
      <c r="D8" s="699" t="s">
        <v>65</v>
      </c>
      <c r="E8" s="700">
        <v>91</v>
      </c>
      <c r="F8" s="701">
        <v>9.5155561831243993</v>
      </c>
      <c r="G8" s="701">
        <v>4.8027411393091652</v>
      </c>
      <c r="H8" s="701">
        <v>15.471580001952908</v>
      </c>
      <c r="I8" s="701">
        <v>0.50472521488830113</v>
      </c>
      <c r="J8" s="701">
        <v>6</v>
      </c>
      <c r="K8" s="701">
        <v>0.16666666666666666</v>
      </c>
      <c r="L8" s="699">
        <v>1</v>
      </c>
      <c r="M8" s="450"/>
      <c r="N8" s="450"/>
      <c r="O8" s="450">
        <f>IF($L8=1,$E8,NA())</f>
        <v>91</v>
      </c>
      <c r="P8" s="450" t="e">
        <f>IF(AND($L8=0,$L8&lt;&gt;""),$E8,NA())</f>
        <v>#N/A</v>
      </c>
      <c r="Q8" s="450">
        <f>IF(L8=1,F8,NA())</f>
        <v>9.5155561831243993</v>
      </c>
      <c r="R8" s="450" t="e">
        <f>IF(P8&lt;&gt;"",F8,NA())</f>
        <v>#N/A</v>
      </c>
      <c r="S8" s="450">
        <v>398.58</v>
      </c>
    </row>
    <row r="9" spans="2:30">
      <c r="B9" s="699" t="s">
        <v>3350</v>
      </c>
      <c r="C9" s="699" t="s">
        <v>3346</v>
      </c>
      <c r="D9" s="699" t="s">
        <v>65</v>
      </c>
      <c r="E9" s="700">
        <v>91</v>
      </c>
      <c r="F9" s="701">
        <v>6.9510983701499311</v>
      </c>
      <c r="G9" s="701">
        <v>3.5417686856080124</v>
      </c>
      <c r="H9" s="701">
        <v>13.214870570893206</v>
      </c>
      <c r="I9" s="701">
        <v>0.509526480134048</v>
      </c>
      <c r="J9" s="701">
        <v>6</v>
      </c>
      <c r="K9" s="701">
        <v>0.16666666666666666</v>
      </c>
      <c r="L9" s="699">
        <v>1</v>
      </c>
      <c r="M9" s="450"/>
      <c r="N9" s="450"/>
      <c r="O9" s="450">
        <f>IF($L9=1,$E9,NA())</f>
        <v>91</v>
      </c>
      <c r="P9" s="450" t="e">
        <f>IF(AND($L9=0,$L9&lt;&gt;""),$E9,NA())</f>
        <v>#N/A</v>
      </c>
      <c r="Q9" s="450">
        <f>IF(L9=1,F9,NA())</f>
        <v>6.9510983701499311</v>
      </c>
      <c r="R9" s="450" t="e">
        <f>IF(P9&lt;&gt;"",F9,NA())</f>
        <v>#N/A</v>
      </c>
      <c r="S9" s="450">
        <v>398.58</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2777</v>
      </c>
      <c r="D4" s="625" t="s">
        <v>65</v>
      </c>
      <c r="E4" s="626">
        <v>34</v>
      </c>
      <c r="F4" s="627">
        <v>0.32741096559842942</v>
      </c>
      <c r="G4" s="627">
        <v>0.18784055729349358</v>
      </c>
      <c r="H4" s="627">
        <v>0.53587780470652469</v>
      </c>
      <c r="I4" s="627">
        <v>0.54170697621989183</v>
      </c>
      <c r="J4" s="627">
        <v>0.70764352208218684</v>
      </c>
      <c r="K4" s="627">
        <v>0.6</v>
      </c>
      <c r="L4" s="627">
        <v>0.3</v>
      </c>
      <c r="M4" s="627">
        <v>0.15</v>
      </c>
      <c r="N4" s="628">
        <v>0</v>
      </c>
      <c r="R4" s="450">
        <v>148.92000000000002</v>
      </c>
    </row>
    <row r="5" spans="2:26">
      <c r="B5" s="412" t="s">
        <v>1994</v>
      </c>
      <c r="C5" s="412" t="s">
        <v>3339</v>
      </c>
      <c r="D5" s="412" t="s">
        <v>65</v>
      </c>
      <c r="E5" s="415">
        <v>91</v>
      </c>
      <c r="F5" s="418">
        <v>1.0243804180818261</v>
      </c>
      <c r="G5" s="418">
        <v>0.5887492614079517</v>
      </c>
      <c r="H5" s="418">
        <v>1.4508944259984293</v>
      </c>
      <c r="I5" s="418">
        <v>0.54794008459543142</v>
      </c>
      <c r="J5" s="418">
        <v>0.8484322542576278</v>
      </c>
      <c r="K5" s="418">
        <v>0.6</v>
      </c>
      <c r="L5" s="418">
        <v>0.3</v>
      </c>
      <c r="M5" s="418">
        <v>0.15</v>
      </c>
      <c r="N5" s="415">
        <v>1</v>
      </c>
      <c r="R5" s="450">
        <v>398.58</v>
      </c>
      <c r="S5" s="450">
        <f>IF($N5=1,$E5,NA())</f>
        <v>91</v>
      </c>
      <c r="T5" s="450" t="e">
        <f>IF(AND($N5=0,$N5&lt;&gt;""),$E5,NA())</f>
        <v>#N/A</v>
      </c>
      <c r="U5" s="450">
        <f>IF($N5=1,$F5,NA())</f>
        <v>1.0243804180818261</v>
      </c>
      <c r="V5" s="450" t="e">
        <f>IF(AND($N5=0,$N5&lt;&gt;""),$F5,NA())</f>
        <v>#N/A</v>
      </c>
    </row>
    <row r="6" spans="2:26">
      <c r="B6" s="699" t="s">
        <v>3347</v>
      </c>
      <c r="C6" s="699" t="s">
        <v>3343</v>
      </c>
      <c r="D6" s="699" t="s">
        <v>65</v>
      </c>
      <c r="E6" s="700">
        <v>91</v>
      </c>
      <c r="F6" s="701">
        <v>0.96318424721276996</v>
      </c>
      <c r="G6" s="701">
        <v>0.54588105929191799</v>
      </c>
      <c r="H6" s="701">
        <v>1.3519523963458977</v>
      </c>
      <c r="I6" s="701">
        <v>0.55699628420863168</v>
      </c>
      <c r="J6" s="701">
        <v>0.88657757557143346</v>
      </c>
      <c r="K6" s="701">
        <v>0.6</v>
      </c>
      <c r="L6" s="701">
        <v>0.3</v>
      </c>
      <c r="M6" s="701">
        <v>0.15</v>
      </c>
      <c r="N6" s="700">
        <v>1</v>
      </c>
      <c r="R6" s="450">
        <v>398.58</v>
      </c>
      <c r="S6" s="450">
        <f t="shared" ref="S6:S69" si="0">IF($N6=1,$E6,NA())</f>
        <v>91</v>
      </c>
      <c r="T6" s="450" t="e">
        <f t="shared" ref="T6:T69" si="1">IF(AND($N6=0,$N6&lt;&gt;""),$E6,NA())</f>
        <v>#N/A</v>
      </c>
      <c r="U6" s="450">
        <f t="shared" ref="U6:U69" si="2">IF($N6=1,$F6,NA())</f>
        <v>0.96318424721276996</v>
      </c>
      <c r="V6" s="450" t="e">
        <f t="shared" ref="V6:V69" si="3">IF(AND($N6=0,$N6&lt;&gt;""),$F6,NA())</f>
        <v>#N/A</v>
      </c>
    </row>
    <row r="7" spans="2:26">
      <c r="B7" s="699" t="s">
        <v>3348</v>
      </c>
      <c r="C7" s="699" t="s">
        <v>3344</v>
      </c>
      <c r="D7" s="699" t="s">
        <v>65</v>
      </c>
      <c r="E7" s="700">
        <v>91</v>
      </c>
      <c r="F7" s="701">
        <v>0.83923708087311732</v>
      </c>
      <c r="G7" s="701">
        <v>0.39502215218253039</v>
      </c>
      <c r="H7" s="701">
        <v>1.2119606768439832</v>
      </c>
      <c r="I7" s="701">
        <v>0.4670682432587086</v>
      </c>
      <c r="J7" s="701">
        <v>0.91408539817118784</v>
      </c>
      <c r="K7" s="701">
        <v>0.6</v>
      </c>
      <c r="L7" s="701">
        <v>0.3</v>
      </c>
      <c r="M7" s="701">
        <v>0.15</v>
      </c>
      <c r="N7" s="700">
        <v>1</v>
      </c>
      <c r="R7" s="450">
        <v>398.58</v>
      </c>
      <c r="S7" s="450">
        <f t="shared" si="0"/>
        <v>91</v>
      </c>
      <c r="T7" s="450" t="e">
        <f t="shared" si="1"/>
        <v>#N/A</v>
      </c>
      <c r="U7" s="450">
        <f t="shared" si="2"/>
        <v>0.83923708087311732</v>
      </c>
      <c r="V7" s="450" t="e">
        <f t="shared" si="3"/>
        <v>#N/A</v>
      </c>
    </row>
    <row r="8" spans="2:26">
      <c r="B8" s="699" t="s">
        <v>3349</v>
      </c>
      <c r="C8" s="699" t="s">
        <v>3345</v>
      </c>
      <c r="D8" s="699" t="s">
        <v>65</v>
      </c>
      <c r="E8" s="700">
        <v>91</v>
      </c>
      <c r="F8" s="701">
        <v>0.67300469032282573</v>
      </c>
      <c r="G8" s="701">
        <v>0.27257196783618093</v>
      </c>
      <c r="H8" s="701">
        <v>1.0189270851673826</v>
      </c>
      <c r="I8" s="701">
        <v>0.40500753078768897</v>
      </c>
      <c r="J8" s="701">
        <v>0.8256714424415581</v>
      </c>
      <c r="K8" s="701">
        <v>0.6</v>
      </c>
      <c r="L8" s="701">
        <v>0.3</v>
      </c>
      <c r="M8" s="701">
        <v>0.15</v>
      </c>
      <c r="N8" s="700">
        <v>1</v>
      </c>
      <c r="R8" s="450">
        <v>398.58</v>
      </c>
      <c r="S8" s="450">
        <f t="shared" si="0"/>
        <v>91</v>
      </c>
      <c r="T8" s="450" t="e">
        <f t="shared" si="1"/>
        <v>#N/A</v>
      </c>
      <c r="U8" s="450">
        <f t="shared" si="2"/>
        <v>0.67300469032282573</v>
      </c>
      <c r="V8" s="450" t="e">
        <f t="shared" si="3"/>
        <v>#N/A</v>
      </c>
    </row>
    <row r="9" spans="2:26">
      <c r="B9" s="699" t="s">
        <v>3350</v>
      </c>
      <c r="C9" s="699" t="s">
        <v>3346</v>
      </c>
      <c r="D9" s="699" t="s">
        <v>65</v>
      </c>
      <c r="E9" s="700">
        <v>91</v>
      </c>
      <c r="F9" s="701">
        <v>0.44681078035770772</v>
      </c>
      <c r="G9" s="701">
        <v>0.19938154825263635</v>
      </c>
      <c r="H9" s="701">
        <v>0.66308798681159031</v>
      </c>
      <c r="I9" s="701">
        <v>0.4462326269142734</v>
      </c>
      <c r="J9" s="701">
        <v>0.81836447421022107</v>
      </c>
      <c r="K9" s="701">
        <v>0.6</v>
      </c>
      <c r="L9" s="701">
        <v>0.3</v>
      </c>
      <c r="M9" s="701">
        <v>0.15</v>
      </c>
      <c r="N9" s="700">
        <v>0</v>
      </c>
      <c r="R9" s="450">
        <v>398.58</v>
      </c>
      <c r="S9" s="450" t="e">
        <f t="shared" si="0"/>
        <v>#N/A</v>
      </c>
      <c r="T9" s="450">
        <f t="shared" si="1"/>
        <v>91</v>
      </c>
      <c r="U9" s="450" t="e">
        <f t="shared" si="2"/>
        <v>#N/A</v>
      </c>
      <c r="V9" s="450">
        <f t="shared" si="3"/>
        <v>0.44681078035770772</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2777</v>
      </c>
      <c r="D4" s="625" t="s">
        <v>65</v>
      </c>
      <c r="E4" s="626">
        <v>34</v>
      </c>
      <c r="F4" s="676">
        <v>0</v>
      </c>
      <c r="G4" s="676">
        <v>39.89</v>
      </c>
      <c r="H4" s="676"/>
      <c r="I4" s="676"/>
      <c r="J4" s="627"/>
    </row>
    <row r="5" spans="2:10">
      <c r="B5" s="412" t="s">
        <v>1994</v>
      </c>
      <c r="C5" s="412" t="s">
        <v>3339</v>
      </c>
      <c r="D5" s="412" t="s">
        <v>65</v>
      </c>
      <c r="E5" s="415">
        <v>91</v>
      </c>
      <c r="F5" s="677">
        <v>600</v>
      </c>
      <c r="G5" s="677">
        <v>64.86</v>
      </c>
      <c r="H5" s="677">
        <v>600</v>
      </c>
      <c r="I5" s="677">
        <v>-24.86</v>
      </c>
      <c r="J5" s="418">
        <v>-24.137098720733768</v>
      </c>
    </row>
    <row r="6" spans="2:10">
      <c r="B6" s="412" t="s">
        <v>3347</v>
      </c>
      <c r="C6" s="412" t="s">
        <v>3343</v>
      </c>
      <c r="D6" s="412" t="s">
        <v>65</v>
      </c>
      <c r="E6" s="415">
        <v>91</v>
      </c>
      <c r="F6" s="703">
        <v>600</v>
      </c>
      <c r="G6" s="703">
        <v>64.86</v>
      </c>
      <c r="H6" s="703">
        <v>600</v>
      </c>
      <c r="I6" s="703">
        <v>-24.86</v>
      </c>
      <c r="J6" s="418">
        <v>-24.137098720733768</v>
      </c>
    </row>
    <row r="7" spans="2:10">
      <c r="B7" s="699" t="s">
        <v>3348</v>
      </c>
      <c r="C7" s="699" t="s">
        <v>3344</v>
      </c>
      <c r="D7" s="699" t="s">
        <v>65</v>
      </c>
      <c r="E7" s="700">
        <v>91</v>
      </c>
      <c r="F7" s="704">
        <v>600</v>
      </c>
      <c r="G7" s="704">
        <v>64.86</v>
      </c>
      <c r="H7" s="704">
        <v>600</v>
      </c>
      <c r="I7" s="704">
        <v>-24.86</v>
      </c>
      <c r="J7" s="701">
        <v>-24.137098720733768</v>
      </c>
    </row>
    <row r="8" spans="2:10">
      <c r="B8" s="699" t="s">
        <v>3349</v>
      </c>
      <c r="C8" s="699" t="s">
        <v>3345</v>
      </c>
      <c r="D8" s="699" t="s">
        <v>65</v>
      </c>
      <c r="E8" s="700">
        <v>91</v>
      </c>
      <c r="F8" s="704">
        <v>600</v>
      </c>
      <c r="G8" s="704">
        <v>64.86</v>
      </c>
      <c r="H8" s="704">
        <v>600</v>
      </c>
      <c r="I8" s="704">
        <v>-24.86</v>
      </c>
      <c r="J8" s="701">
        <v>-24.137098720733768</v>
      </c>
    </row>
    <row r="9" spans="2:10">
      <c r="B9" s="699" t="s">
        <v>3350</v>
      </c>
      <c r="C9" s="699" t="s">
        <v>3346</v>
      </c>
      <c r="D9" s="699" t="s">
        <v>65</v>
      </c>
      <c r="E9" s="700">
        <v>91</v>
      </c>
      <c r="F9" s="704">
        <v>600</v>
      </c>
      <c r="G9" s="704">
        <v>64.86</v>
      </c>
      <c r="H9" s="704">
        <v>600</v>
      </c>
      <c r="I9" s="704">
        <v>-24.86</v>
      </c>
      <c r="J9" s="701">
        <v>-24.137098720733768</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2777</v>
      </c>
      <c r="D4" s="625" t="s">
        <v>65</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1994</v>
      </c>
      <c r="C5" s="412" t="s">
        <v>3339</v>
      </c>
      <c r="D5" s="412" t="s">
        <v>65</v>
      </c>
      <c r="E5" s="415">
        <v>91</v>
      </c>
      <c r="F5" s="677">
        <v>600</v>
      </c>
      <c r="G5" s="677">
        <v>664.23</v>
      </c>
      <c r="H5" s="677">
        <v>727.83</v>
      </c>
      <c r="I5" s="677">
        <v>790.82</v>
      </c>
      <c r="J5" s="677">
        <v>853.2</v>
      </c>
      <c r="K5" s="677">
        <v>914.97</v>
      </c>
      <c r="L5" s="677">
        <v>976.14</v>
      </c>
      <c r="M5" s="677">
        <v>1036.71</v>
      </c>
      <c r="N5" s="677">
        <v>1096.7</v>
      </c>
      <c r="O5" s="677">
        <v>1156.1099999999999</v>
      </c>
      <c r="P5" s="677">
        <v>1214.94</v>
      </c>
      <c r="Q5" s="677">
        <v>1273.19</v>
      </c>
      <c r="R5" s="677">
        <v>1330.89</v>
      </c>
      <c r="S5" s="677">
        <v>1388.02</v>
      </c>
      <c r="T5" s="677">
        <v>1444.6</v>
      </c>
      <c r="U5" s="677">
        <v>1500.63</v>
      </c>
      <c r="V5" s="677">
        <v>1556.11</v>
      </c>
      <c r="W5" s="677">
        <v>1611.06</v>
      </c>
      <c r="X5" s="677">
        <v>1665.47</v>
      </c>
      <c r="Y5" s="677">
        <v>1719.35</v>
      </c>
      <c r="Z5" s="677">
        <v>1772.71</v>
      </c>
      <c r="AB5" s="503">
        <v>398.58</v>
      </c>
    </row>
    <row r="6" spans="2:29">
      <c r="B6" s="412" t="s">
        <v>3347</v>
      </c>
      <c r="C6" s="412" t="s">
        <v>3343</v>
      </c>
      <c r="D6" s="412" t="s">
        <v>65</v>
      </c>
      <c r="E6" s="415">
        <v>91</v>
      </c>
      <c r="F6" s="677">
        <v>600</v>
      </c>
      <c r="G6" s="677">
        <v>664.23</v>
      </c>
      <c r="H6" s="677">
        <v>727.83</v>
      </c>
      <c r="I6" s="677">
        <v>790.82</v>
      </c>
      <c r="J6" s="677">
        <v>853.2</v>
      </c>
      <c r="K6" s="677">
        <v>914.97</v>
      </c>
      <c r="L6" s="677">
        <v>976.14</v>
      </c>
      <c r="M6" s="677">
        <v>1036.71</v>
      </c>
      <c r="N6" s="677">
        <v>1096.7</v>
      </c>
      <c r="O6" s="677">
        <v>1156.1099999999999</v>
      </c>
      <c r="P6" s="677">
        <v>1214.94</v>
      </c>
      <c r="Q6" s="677">
        <v>1273.19</v>
      </c>
      <c r="R6" s="677">
        <v>1330.89</v>
      </c>
      <c r="S6" s="677">
        <v>1388.02</v>
      </c>
      <c r="T6" s="677">
        <v>1444.6</v>
      </c>
      <c r="U6" s="677">
        <v>1500.63</v>
      </c>
      <c r="V6" s="677">
        <v>1556.11</v>
      </c>
      <c r="W6" s="677">
        <v>1611.06</v>
      </c>
      <c r="X6" s="677">
        <v>1665.47</v>
      </c>
      <c r="Y6" s="677">
        <v>1719.35</v>
      </c>
      <c r="Z6" s="677">
        <v>1772.71</v>
      </c>
      <c r="AB6" s="503">
        <v>398.58</v>
      </c>
    </row>
    <row r="7" spans="2:29">
      <c r="B7" s="412" t="s">
        <v>3348</v>
      </c>
      <c r="C7" s="412" t="s">
        <v>3344</v>
      </c>
      <c r="D7" s="412" t="s">
        <v>65</v>
      </c>
      <c r="E7" s="415">
        <v>91</v>
      </c>
      <c r="F7" s="703">
        <v>600</v>
      </c>
      <c r="G7" s="703">
        <v>664.23</v>
      </c>
      <c r="H7" s="703">
        <v>727.83</v>
      </c>
      <c r="I7" s="703">
        <v>790.82</v>
      </c>
      <c r="J7" s="703">
        <v>853.2</v>
      </c>
      <c r="K7" s="703">
        <v>914.97</v>
      </c>
      <c r="L7" s="703">
        <v>976.14</v>
      </c>
      <c r="M7" s="703">
        <v>1036.71</v>
      </c>
      <c r="N7" s="703">
        <v>1096.7</v>
      </c>
      <c r="O7" s="703">
        <v>1156.1099999999999</v>
      </c>
      <c r="P7" s="703">
        <v>1214.94</v>
      </c>
      <c r="Q7" s="703">
        <v>1273.19</v>
      </c>
      <c r="R7" s="703">
        <v>1330.89</v>
      </c>
      <c r="S7" s="703">
        <v>1388.02</v>
      </c>
      <c r="T7" s="703">
        <v>1444.6</v>
      </c>
      <c r="U7" s="703">
        <v>1500.63</v>
      </c>
      <c r="V7" s="703">
        <v>1556.11</v>
      </c>
      <c r="W7" s="703">
        <v>1611.06</v>
      </c>
      <c r="X7" s="703">
        <v>1665.47</v>
      </c>
      <c r="Y7" s="703">
        <v>1719.35</v>
      </c>
      <c r="Z7" s="703">
        <v>1772.71</v>
      </c>
      <c r="AB7" s="503">
        <v>398.58</v>
      </c>
    </row>
    <row r="8" spans="2:29">
      <c r="B8" s="412" t="s">
        <v>3349</v>
      </c>
      <c r="C8" s="412" t="s">
        <v>3345</v>
      </c>
      <c r="D8" s="412" t="s">
        <v>65</v>
      </c>
      <c r="E8" s="415">
        <v>91</v>
      </c>
      <c r="F8" s="703">
        <v>600</v>
      </c>
      <c r="G8" s="703">
        <v>664.23</v>
      </c>
      <c r="H8" s="703">
        <v>727.83</v>
      </c>
      <c r="I8" s="703">
        <v>790.82</v>
      </c>
      <c r="J8" s="703">
        <v>853.2</v>
      </c>
      <c r="K8" s="703">
        <v>914.97</v>
      </c>
      <c r="L8" s="703">
        <v>976.14</v>
      </c>
      <c r="M8" s="703">
        <v>1036.71</v>
      </c>
      <c r="N8" s="703">
        <v>1096.7</v>
      </c>
      <c r="O8" s="703">
        <v>1156.1099999999999</v>
      </c>
      <c r="P8" s="703">
        <v>1214.94</v>
      </c>
      <c r="Q8" s="703">
        <v>1273.19</v>
      </c>
      <c r="R8" s="703">
        <v>1330.89</v>
      </c>
      <c r="S8" s="703">
        <v>1388.02</v>
      </c>
      <c r="T8" s="703">
        <v>1444.6</v>
      </c>
      <c r="U8" s="703">
        <v>1500.63</v>
      </c>
      <c r="V8" s="703">
        <v>1556.11</v>
      </c>
      <c r="W8" s="703">
        <v>1611.06</v>
      </c>
      <c r="X8" s="703">
        <v>1665.47</v>
      </c>
      <c r="Y8" s="703">
        <v>1719.35</v>
      </c>
      <c r="Z8" s="703">
        <v>1772.71</v>
      </c>
      <c r="AB8" s="503">
        <v>398.58</v>
      </c>
    </row>
    <row r="9" spans="2:29">
      <c r="B9" s="412" t="s">
        <v>3350</v>
      </c>
      <c r="C9" s="412" t="s">
        <v>3346</v>
      </c>
      <c r="D9" s="412" t="s">
        <v>65</v>
      </c>
      <c r="E9" s="415">
        <v>91</v>
      </c>
      <c r="F9" s="703">
        <v>600</v>
      </c>
      <c r="G9" s="703">
        <v>664.23</v>
      </c>
      <c r="H9" s="703">
        <v>727.83</v>
      </c>
      <c r="I9" s="703">
        <v>790.82</v>
      </c>
      <c r="J9" s="703">
        <v>853.2</v>
      </c>
      <c r="K9" s="703">
        <v>914.97</v>
      </c>
      <c r="L9" s="703">
        <v>976.14</v>
      </c>
      <c r="M9" s="703">
        <v>1036.71</v>
      </c>
      <c r="N9" s="703">
        <v>1096.7</v>
      </c>
      <c r="O9" s="703">
        <v>1156.1099999999999</v>
      </c>
      <c r="P9" s="703">
        <v>1214.94</v>
      </c>
      <c r="Q9" s="703">
        <v>1273.19</v>
      </c>
      <c r="R9" s="703">
        <v>1330.89</v>
      </c>
      <c r="S9" s="703">
        <v>1388.02</v>
      </c>
      <c r="T9" s="703">
        <v>1444.6</v>
      </c>
      <c r="U9" s="703">
        <v>1500.63</v>
      </c>
      <c r="V9" s="703">
        <v>1556.11</v>
      </c>
      <c r="W9" s="703">
        <v>1611.06</v>
      </c>
      <c r="X9" s="703">
        <v>1665.47</v>
      </c>
      <c r="Y9" s="703">
        <v>1719.35</v>
      </c>
      <c r="Z9" s="703">
        <v>1772.71</v>
      </c>
      <c r="AB9" s="503">
        <v>398.58</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2777</v>
      </c>
      <c r="D4" s="625" t="s">
        <v>65</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1994</v>
      </c>
      <c r="C5" s="412" t="s">
        <v>3339</v>
      </c>
      <c r="D5" s="412" t="s">
        <v>65</v>
      </c>
      <c r="E5" s="415">
        <v>91</v>
      </c>
      <c r="F5" s="630" t="s">
        <v>1675</v>
      </c>
      <c r="G5" s="630" t="s">
        <v>3351</v>
      </c>
      <c r="H5" s="630" t="s">
        <v>3351</v>
      </c>
      <c r="I5" s="630" t="s">
        <v>3351</v>
      </c>
      <c r="J5" s="630" t="s">
        <v>3351</v>
      </c>
      <c r="K5" s="630" t="s">
        <v>3351</v>
      </c>
      <c r="L5" s="630" t="s">
        <v>3351</v>
      </c>
      <c r="M5" s="630" t="s">
        <v>3351</v>
      </c>
      <c r="N5" s="630" t="s">
        <v>3351</v>
      </c>
      <c r="O5" s="630" t="s">
        <v>3351</v>
      </c>
      <c r="P5" s="630" t="s">
        <v>3351</v>
      </c>
      <c r="Q5" s="630" t="s">
        <v>3351</v>
      </c>
      <c r="R5" s="630" t="s">
        <v>3351</v>
      </c>
      <c r="S5" s="630" t="s">
        <v>3351</v>
      </c>
      <c r="T5" s="630" t="s">
        <v>3351</v>
      </c>
      <c r="U5" s="630" t="s">
        <v>3351</v>
      </c>
      <c r="V5" s="630" t="s">
        <v>3351</v>
      </c>
      <c r="W5" s="630" t="s">
        <v>3351</v>
      </c>
      <c r="X5" s="630" t="s">
        <v>3351</v>
      </c>
      <c r="Y5" s="630" t="s">
        <v>3351</v>
      </c>
      <c r="Z5" s="387"/>
      <c r="AA5" s="450">
        <v>398.58</v>
      </c>
    </row>
    <row r="6" spans="1:28" s="450" customFormat="1">
      <c r="A6" s="387"/>
      <c r="B6" s="412" t="s">
        <v>3347</v>
      </c>
      <c r="C6" s="412" t="s">
        <v>3343</v>
      </c>
      <c r="D6" s="412" t="s">
        <v>65</v>
      </c>
      <c r="E6" s="415">
        <v>91</v>
      </c>
      <c r="F6" s="630" t="s">
        <v>1675</v>
      </c>
      <c r="G6" s="630" t="s">
        <v>3351</v>
      </c>
      <c r="H6" s="630" t="s">
        <v>3351</v>
      </c>
      <c r="I6" s="630" t="s">
        <v>3351</v>
      </c>
      <c r="J6" s="630" t="s">
        <v>3351</v>
      </c>
      <c r="K6" s="630" t="s">
        <v>3351</v>
      </c>
      <c r="L6" s="630" t="s">
        <v>3351</v>
      </c>
      <c r="M6" s="630" t="s">
        <v>3351</v>
      </c>
      <c r="N6" s="630" t="s">
        <v>3351</v>
      </c>
      <c r="O6" s="630" t="s">
        <v>3351</v>
      </c>
      <c r="P6" s="630" t="s">
        <v>3351</v>
      </c>
      <c r="Q6" s="630" t="s">
        <v>3351</v>
      </c>
      <c r="R6" s="630" t="s">
        <v>3351</v>
      </c>
      <c r="S6" s="630" t="s">
        <v>3351</v>
      </c>
      <c r="T6" s="630" t="s">
        <v>3351</v>
      </c>
      <c r="U6" s="630" t="s">
        <v>3351</v>
      </c>
      <c r="V6" s="630" t="s">
        <v>3351</v>
      </c>
      <c r="W6" s="630" t="s">
        <v>3351</v>
      </c>
      <c r="X6" s="630" t="s">
        <v>3351</v>
      </c>
      <c r="Y6" s="630" t="s">
        <v>3351</v>
      </c>
      <c r="Z6" s="387"/>
      <c r="AA6" s="450">
        <v>398.58</v>
      </c>
    </row>
    <row r="7" spans="1:28" s="450" customFormat="1">
      <c r="A7" s="387"/>
      <c r="B7" s="699" t="s">
        <v>3348</v>
      </c>
      <c r="C7" s="699" t="s">
        <v>3344</v>
      </c>
      <c r="D7" s="699" t="s">
        <v>65</v>
      </c>
      <c r="E7" s="415">
        <v>91</v>
      </c>
      <c r="F7" s="630" t="s">
        <v>1675</v>
      </c>
      <c r="G7" s="630" t="s">
        <v>3351</v>
      </c>
      <c r="H7" s="630" t="s">
        <v>3351</v>
      </c>
      <c r="I7" s="630" t="s">
        <v>3351</v>
      </c>
      <c r="J7" s="630" t="s">
        <v>3351</v>
      </c>
      <c r="K7" s="630" t="s">
        <v>3351</v>
      </c>
      <c r="L7" s="630" t="s">
        <v>3351</v>
      </c>
      <c r="M7" s="630" t="s">
        <v>3351</v>
      </c>
      <c r="N7" s="630" t="s">
        <v>3351</v>
      </c>
      <c r="O7" s="630" t="s">
        <v>3351</v>
      </c>
      <c r="P7" s="630" t="s">
        <v>3351</v>
      </c>
      <c r="Q7" s="630" t="s">
        <v>3351</v>
      </c>
      <c r="R7" s="630" t="s">
        <v>3351</v>
      </c>
      <c r="S7" s="630" t="s">
        <v>3351</v>
      </c>
      <c r="T7" s="630" t="s">
        <v>3351</v>
      </c>
      <c r="U7" s="630" t="s">
        <v>3351</v>
      </c>
      <c r="V7" s="630" t="s">
        <v>3351</v>
      </c>
      <c r="W7" s="630" t="s">
        <v>3351</v>
      </c>
      <c r="X7" s="630" t="s">
        <v>3351</v>
      </c>
      <c r="Y7" s="630" t="s">
        <v>3351</v>
      </c>
      <c r="Z7" s="387"/>
      <c r="AA7" s="450">
        <v>398.58</v>
      </c>
    </row>
    <row r="8" spans="1:28">
      <c r="B8" s="412" t="s">
        <v>3349</v>
      </c>
      <c r="C8" s="412" t="s">
        <v>3345</v>
      </c>
      <c r="D8" s="412" t="s">
        <v>65</v>
      </c>
      <c r="E8" s="415">
        <v>91</v>
      </c>
      <c r="F8" s="630" t="s">
        <v>1675</v>
      </c>
      <c r="G8" s="630" t="s">
        <v>3351</v>
      </c>
      <c r="H8" s="630" t="s">
        <v>3351</v>
      </c>
      <c r="I8" s="630" t="s">
        <v>3351</v>
      </c>
      <c r="J8" s="630" t="s">
        <v>3351</v>
      </c>
      <c r="K8" s="630" t="s">
        <v>3351</v>
      </c>
      <c r="L8" s="630" t="s">
        <v>3351</v>
      </c>
      <c r="M8" s="630" t="s">
        <v>3351</v>
      </c>
      <c r="N8" s="630" t="s">
        <v>3351</v>
      </c>
      <c r="O8" s="630" t="s">
        <v>3351</v>
      </c>
      <c r="P8" s="630" t="s">
        <v>3351</v>
      </c>
      <c r="Q8" s="630" t="s">
        <v>3351</v>
      </c>
      <c r="R8" s="630" t="s">
        <v>3351</v>
      </c>
      <c r="S8" s="630" t="s">
        <v>3351</v>
      </c>
      <c r="T8" s="630" t="s">
        <v>3351</v>
      </c>
      <c r="U8" s="630" t="s">
        <v>3351</v>
      </c>
      <c r="V8" s="630" t="s">
        <v>3351</v>
      </c>
      <c r="W8" s="630" t="s">
        <v>3351</v>
      </c>
      <c r="X8" s="630" t="s">
        <v>3351</v>
      </c>
      <c r="Y8" s="630" t="s">
        <v>3351</v>
      </c>
      <c r="AA8" s="450">
        <v>398.58</v>
      </c>
    </row>
    <row r="9" spans="1:28">
      <c r="B9" s="412" t="s">
        <v>3350</v>
      </c>
      <c r="C9" s="412" t="s">
        <v>3346</v>
      </c>
      <c r="D9" s="412" t="s">
        <v>65</v>
      </c>
      <c r="E9" s="415">
        <v>91</v>
      </c>
      <c r="F9" s="630" t="s">
        <v>1675</v>
      </c>
      <c r="G9" s="630" t="s">
        <v>3351</v>
      </c>
      <c r="H9" s="630" t="s">
        <v>3351</v>
      </c>
      <c r="I9" s="630" t="s">
        <v>3351</v>
      </c>
      <c r="J9" s="630" t="s">
        <v>3351</v>
      </c>
      <c r="K9" s="630" t="s">
        <v>3351</v>
      </c>
      <c r="L9" s="630" t="s">
        <v>3351</v>
      </c>
      <c r="M9" s="630" t="s">
        <v>3351</v>
      </c>
      <c r="N9" s="630" t="s">
        <v>3351</v>
      </c>
      <c r="O9" s="630" t="s">
        <v>3351</v>
      </c>
      <c r="P9" s="630" t="s">
        <v>3351</v>
      </c>
      <c r="Q9" s="630" t="s">
        <v>3351</v>
      </c>
      <c r="R9" s="630" t="s">
        <v>3351</v>
      </c>
      <c r="S9" s="630" t="s">
        <v>3351</v>
      </c>
      <c r="T9" s="630" t="s">
        <v>3351</v>
      </c>
      <c r="U9" s="630" t="s">
        <v>3351</v>
      </c>
      <c r="V9" s="630" t="s">
        <v>3351</v>
      </c>
      <c r="W9" s="630" t="s">
        <v>3351</v>
      </c>
      <c r="X9" s="630" t="s">
        <v>3351</v>
      </c>
      <c r="Y9" s="630" t="s">
        <v>3351</v>
      </c>
      <c r="AA9" s="450">
        <v>398.58</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204</vt:i4>
      </vt:variant>
    </vt:vector>
  </HeadingPairs>
  <TitlesOfParts>
    <vt:vector size="23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selectedFixturesPerPole</vt:lpstr>
      <vt:lpstr>selectedLLF</vt:lpstr>
      <vt:lpstr>selectedSeparationAngle</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2015-01-30T01:27:54Z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