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B122" i="33" l="1"/>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M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C7" i="43" s="1"/>
  <c r="T3" i="10"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S3" i="10"/>
  <c r="C7" i="39"/>
  <c r="K3" i="10" s="1"/>
  <c r="P3" i="10" s="1"/>
  <c r="B8" i="7"/>
  <c r="B12" i="7" s="1"/>
  <c r="B16"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K23" i="35"/>
  <c r="W21" i="8"/>
  <c r="B9" i="59" s="1"/>
  <c r="CB2" i="10"/>
  <c r="E85" i="6"/>
  <c r="E64" i="6"/>
  <c r="N23" i="35"/>
  <c r="AR65" i="26"/>
  <c r="E73" i="6"/>
  <c r="D44" i="17"/>
  <c r="D64" i="17"/>
  <c r="D69" i="17"/>
  <c r="A18" i="9"/>
  <c r="H3" i="49"/>
  <c r="AN65" i="26"/>
  <c r="B19" i="26"/>
  <c r="D47" i="17"/>
  <c r="F25" i="17"/>
  <c r="C65" i="59" s="1"/>
  <c r="E22" i="17" l="1"/>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P6" i="2"/>
  <c r="N6" i="2"/>
  <c r="C16" i="35" s="1"/>
  <c r="B6" i="2"/>
  <c r="B7" i="2" s="1"/>
  <c r="B13" i="2" s="1"/>
  <c r="H6" i="2"/>
  <c r="C10" i="35" s="1"/>
  <c r="B3" i="35"/>
  <c r="B51" i="59"/>
  <c r="N5" i="2"/>
  <c r="B16" i="35" s="1"/>
  <c r="G16" i="58"/>
  <c r="I19" i="2"/>
  <c r="G6" i="2"/>
  <c r="C9" i="35" s="1"/>
  <c r="Y3" i="10"/>
  <c r="H17" i="58"/>
  <c r="CE3" i="10"/>
  <c r="F24" i="17"/>
  <c r="C64" i="59" s="1"/>
  <c r="C17" i="58"/>
  <c r="D17" i="58"/>
  <c r="C20" i="35"/>
  <c r="I23" i="35" s="1"/>
  <c r="S23" i="35" s="1"/>
  <c r="T23" i="35" s="1"/>
  <c r="B17" i="58"/>
  <c r="F16" i="17"/>
  <c r="C56" i="59" s="1"/>
  <c r="F26" i="17"/>
  <c r="C66" i="59" s="1"/>
  <c r="A9" i="59"/>
  <c r="L17" i="2" l="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L5" i="2"/>
  <c r="B14" i="35" s="1"/>
  <c r="E16" i="58"/>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K5" i="2" l="1"/>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<sst xmlns="http://schemas.openxmlformats.org/spreadsheetml/2006/main" count="5121" uniqueCount="3381">
  <si>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</si>
  <si>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</si>
  <si>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</si>
  <si>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</si>
  <si>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</si>
  <si>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</si>
  <si>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</si>
  <si>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</si>
  <si>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</si>
  <si>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</si>
  <si>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</si>
  <si>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</si>
  <si>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</si>
  <si>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</si>
  <si>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</si>
  <si>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</si>
  <si>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</si>
  <si>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</si>
  <si>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</si>
  <si>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</si>
  <si>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</si>
  <si>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</si>
  <si>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</si>
  <si>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</si>
  <si>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</si>
  <si>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</si>
  <si>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</si>
  <si>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</si>
  <si>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</si>
  <si>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</si>
  <si>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</si>
  <si>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</si>
  <si>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</si>
  <si>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</si>
  <si>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</si>
  <si>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</si>
  <si>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</si>
  <si>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</si>
  <si>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</si>
  <si>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</si>
  <si>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</si>
  <si>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</si>
  <si>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</si>
  <si>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</si>
  <si>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</si>
  <si>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</si>
  <si>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</si>
  <si>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</si>
  <si>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</si>
  <si>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</si>
  <si>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</si>
  <si>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</si>
  <si>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</si>
  <si>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</si>
  <si>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</si>
  <si>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</si>
  <si>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</si>
  <si>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</si>
  <si>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</si>
  <si>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</si>
  <si>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</si>
  <si>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</si>
  <si>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</si>
  <si>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</si>
  <si>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</si>
  <si>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</si>
  <si>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</si>
  <si>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</si>
  <si>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</si>
  <si>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</si>
  <si>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</si>
  <si>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</si>
  <si>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</si>
  <si>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</si>
  <si>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</si>
  <si>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</si>
  <si>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</si>
  <si>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</si>
  <si>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</si>
  <si>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</si>
  <si>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</si>
  <si>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</si>
  <si>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</si>
  <si>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</si>
  <si>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</si>
  <si>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</si>
  <si>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</si>
  <si>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</si>
  <si>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</si>
  <si>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</si>
  <si>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</si>
  <si>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</si>
  <si>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</si>
  <si>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</si>
  <si>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</si>
  <si>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</si>
  <si>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</si>
  <si>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</si>
  <si>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</si>
  <si>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</si>
  <si>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</si>
  <si>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</si>
  <si>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</si>
  <si>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</si>
  <si>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</si>
  <si>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</si>
  <si>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</si>
  <si>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</si>
  <si>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</si>
  <si>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</si>
  <si>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</si>
  <si>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</si>
  <si>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</si>
  <si>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</si>
  <si>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</si>
  <si>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</si>
  <si>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</si>
  <si>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</si>
  <si>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</si>
  <si>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</si>
  <si>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</si>
  <si>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</si>
  <si>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</si>
  <si>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</si>
  <si>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</si>
  <si>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</si>
  <si>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</si>
  <si>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</si>
  <si>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</si>
  <si>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</si>
  <si>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</si>
  <si>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</si>
  <si>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</si>
  <si>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</si>
  <si>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</si>
  <si>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</si>
  <si>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</si>
  <si>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</si>
  <si>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</si>
  <si>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</si>
  <si>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</si>
  <si>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</si>
  <si>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</si>
  <si>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</si>
  <si>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</si>
  <si>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</si>
  <si>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</si>
  <si>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</si>
  <si>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</si>
  <si>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</si>
  <si>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</si>
  <si>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</si>
  <si>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</si>
  <si>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</si>
  <si>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</si>
  <si>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</si>
  <si>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</si>
  <si>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</si>
  <si>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</si>
  <si>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</si>
  <si>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</si>
  <si>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</si>
  <si>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</si>
  <si>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</si>
  <si>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</si>
  <si>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</si>
  <si>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</si>
  <si>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</si>
  <si>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</si>
  <si>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</si>
  <si>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</si>
  <si>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</si>
  <si>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</si>
  <si>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</si>
  <si>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</si>
  <si>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</si>
  <si>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</si>
  <si>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</si>
  <si>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</si>
  <si>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</si>
  <si>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</si>
  <si>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</si>
  <si>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</si>
  <si>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</si>
  <si>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</si>
  <si>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</si>
  <si>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</si>
  <si>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</si>
  <si>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</si>
  <si>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</si>
  <si>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</si>
  <si>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</si>
  <si>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</si>
  <si>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</si>
  <si>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</si>
  <si>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</si>
  <si>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</si>
  <si>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</si>
  <si>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</si>
  <si>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</si>
  <si>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</si>
  <si>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</si>
  <si>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</si>
  <si>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</si>
  <si>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</si>
  <si>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</si>
  <si>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</si>
  <si>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</si>
  <si>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</si>
  <si>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</si>
  <si>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</si>
  <si>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</si>
  <si>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</si>
  <si>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</si>
  <si>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</si>
  <si>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</si>
  <si>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</si>
  <si>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</si>
  <si>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</si>
  <si>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</si>
  <si>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</si>
  <si>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</si>
  <si>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</si>
  <si>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</si>
  <si>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</si>
  <si>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</si>
  <si>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</si>
  <si>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</si>
  <si>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</si>
  <si>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</si>
  <si>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</si>
  <si>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</si>
  <si>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</si>
  <si>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</si>
  <si>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</si>
  <si>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</si>
  <si>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</si>
  <si>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</si>
  <si>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</si>
  <si>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</si>
  <si>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</si>
  <si>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</si>
  <si>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</si>
  <si>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</si>
  <si>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</si>
  <si>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</si>
  <si>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</si>
  <si>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</si>
  <si>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</si>
  <si>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</si>
  <si>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</si>
  <si>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</si>
  <si>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</si>
  <si>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</si>
  <si>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</si>
  <si>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</si>
  <si>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</si>
  <si>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</si>
  <si>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</si>
  <si>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</si>
  <si>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</si>
  <si>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</si>
  <si>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</si>
  <si>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</si>
  <si>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</si>
  <si>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</si>
  <si>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</si>
  <si>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</si>
  <si>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</si>
  <si>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</si>
  <si>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</si>
  <si>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</si>
  <si>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</si>
  <si>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</si>
  <si>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</si>
  <si>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</si>
  <si>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</si>
  <si>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</si>
  <si>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</si>
  <si>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</si>
  <si>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</si>
  <si>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</si>
  <si>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</si>
  <si>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</si>
  <si>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</si>
  <si>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</si>
  <si>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</si>
  <si>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</si>
  <si>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</si>
  <si>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</si>
  <si>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</si>
  <si>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</si>
  <si>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</si>
  <si>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</si>
  <si>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</si>
  <si>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</si>
  <si>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</si>
  <si>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</si>
  <si>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</si>
  <si>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</si>
  <si>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</si>
  <si>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</si>
  <si>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</si>
  <si>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</si>
  <si>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</si>
  <si>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</si>
  <si>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</si>
  <si>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</si>
  <si>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</si>
  <si>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</si>
  <si>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</si>
  <si>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</si>
  <si>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</si>
  <si>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</si>
  <si>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</si>
  <si>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</si>
  <si>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</si>
  <si>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</si>
  <si>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</si>
  <si>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</si>
  <si>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</si>
  <si>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</si>
  <si>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</si>
  <si>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</si>
  <si>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</si>
  <si>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</si>
  <si>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</si>
  <si>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</si>
  <si>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</si>
  <si>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</si>
  <si>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</si>
  <si>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</si>
  <si>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</si>
  <si>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</si>
  <si>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</si>
  <si>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</si>
  <si>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</si>
  <si>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</si>
  <si>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</si>
  <si>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</si>
  <si>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</si>
  <si>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</si>
  <si>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</si>
  <si>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</si>
  <si>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</si>
  <si>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</si>
  <si>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</si>
  <si>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</si>
  <si>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</si>
  <si>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</si>
  <si>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</si>
  <si>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</si>
  <si>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</si>
  <si>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</si>
  <si>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</si>
  <si>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</si>
  <si>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</si>
  <si>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</si>
  <si>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</si>
  <si>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</si>
  <si>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</si>
  <si>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</si>
  <si>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</si>
  <si>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</si>
  <si>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</si>
  <si>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</si>
  <si>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</si>
  <si>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</si>
  <si>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</si>
  <si>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</si>
  <si>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</si>
  <si>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</si>
  <si>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</si>
  <si>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</si>
  <si>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</si>
  <si>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</si>
  <si>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</si>
  <si>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</si>
  <si>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</si>
  <si>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</si>
  <si>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</si>
  <si>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</si>
  <si>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</si>
  <si>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</si>
  <si>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</si>
  <si>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</si>
  <si>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</si>
  <si>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</si>
  <si>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</si>
  <si>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</si>
  <si>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</si>
  <si>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</si>
  <si>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</si>
  <si>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</si>
  <si>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</si>
  <si>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</si>
  <si>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</si>
  <si>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</si>
  <si>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</si>
  <si>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</si>
  <si>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</si>
  <si>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</si>
  <si>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</si>
  <si>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</si>
  <si>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</si>
  <si>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</si>
  <si>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</si>
  <si>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</si>
  <si>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</si>
  <si>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</si>
  <si>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</si>
  <si>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</si>
  <si>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</si>
  <si>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</si>
  <si>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</si>
  <si>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</si>
  <si>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</si>
  <si>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</si>
  <si>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</si>
  <si>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</si>
  <si>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</si>
  <si>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</si>
  <si>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</si>
  <si>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</si>
  <si>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</si>
  <si>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</si>
  <si>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</si>
  <si>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</si>
  <si>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</si>
  <si>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</si>
  <si>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</si>
  <si>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</si>
  <si>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</si>
  <si>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</si>
  <si>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</si>
  <si>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</si>
  <si>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</si>
  <si>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</si>
  <si>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</si>
  <si>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</si>
  <si>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</si>
  <si>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</si>
  <si>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</si>
  <si>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</si>
  <si>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</si>
  <si>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</si>
  <si>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</si>
  <si>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</si>
  <si>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</si>
  <si>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</si>
  <si>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</si>
  <si>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</si>
  <si>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</si>
  <si>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</si>
  <si>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</si>
  <si>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</si>
  <si>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</si>
  <si>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</si>
  <si>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</si>
  <si>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</si>
  <si>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</si>
  <si>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</si>
  <si>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</si>
  <si>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</si>
  <si>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</si>
  <si>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</si>
  <si>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</si>
  <si>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</si>
  <si>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</si>
  <si>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</si>
  <si>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</si>
  <si>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</si>
  <si>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</si>
  <si>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</si>
  <si>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</si>
  <si>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</si>
  <si>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</si>
  <si>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</si>
  <si>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</si>
  <si>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</si>
  <si>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</si>
  <si>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</si>
  <si>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</si>
  <si>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</si>
  <si>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</si>
  <si>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</si>
  <si>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</si>
  <si>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</si>
  <si>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</si>
  <si>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</si>
  <si>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</si>
  <si>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</si>
  <si>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</si>
  <si>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</si>
  <si>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</si>
  <si>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</si>
  <si>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</si>
  <si>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</si>
  <si>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</si>
  <si>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</si>
  <si>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</si>
  <si>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</si>
  <si>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</si>
  <si>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</si>
  <si>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</si>
  <si>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</si>
  <si>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</si>
  <si>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</si>
  <si>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</si>
  <si>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</si>
  <si>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</si>
  <si>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</si>
  <si>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</si>
  <si>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</si>
  <si>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</si>
  <si>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</si>
  <si>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</si>
  <si>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</si>
  <si>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</si>
  <si>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</si>
  <si>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</si>
  <si>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</si>
  <si>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</si>
  <si>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</si>
  <si>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</si>
  <si>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</si>
  <si>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</si>
  <si>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</si>
  <si>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</si>
  <si>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</si>
  <si>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</si>
  <si>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</si>
  <si>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</si>
  <si>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</si>
  <si>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</si>
  <si>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</si>
  <si>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</si>
  <si>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</si>
  <si>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</si>
  <si>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</si>
  <si>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</si>
  <si>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</si>
  <si>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</si>
  <si>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</si>
  <si>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</si>
  <si>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</si>
  <si>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</si>
  <si>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</si>
  <si>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</si>
  <si>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</si>
  <si>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</si>
  <si>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</si>
  <si>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</si>
  <si>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</si>
  <si>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</si>
  <si>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</si>
  <si>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</si>
  <si>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</si>
  <si>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</si>
  <si>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</si>
  <si>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</si>
  <si>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</si>
  <si>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</si>
  <si>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</si>
  <si>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</si>
  <si>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</si>
  <si>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</si>
  <si>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</si>
  <si>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</si>
  <si>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</si>
  <si>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</si>
  <si>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</si>
  <si>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</si>
  <si>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</si>
  <si>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</si>
  <si>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</si>
  <si>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</si>
  <si>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</si>
  <si>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</si>
  <si>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</si>
  <si>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</si>
  <si>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</si>
  <si>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</si>
  <si>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</si>
  <si>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</si>
  <si>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</si>
  <si>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</si>
  <si>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</si>
  <si>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</si>
  <si>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</si>
  <si>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</si>
  <si>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</si>
  <si>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</si>
  <si>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</si>
  <si>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</si>
  <si>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</si>
  <si>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</si>
  <si>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</si>
  <si>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</si>
  <si>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</si>
  <si>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</si>
  <si>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</si>
  <si>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</si>
  <si>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</si>
  <si>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</si>
  <si>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</si>
  <si>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</si>
  <si>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</si>
  <si>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</si>
  <si>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</si>
  <si>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</si>
  <si>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</si>
  <si>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</si>
  <si>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</si>
  <si>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</si>
  <si>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</si>
  <si>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</si>
  <si>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</si>
  <si>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</si>
  <si>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</si>
  <si>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</si>
  <si>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</si>
  <si>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</si>
  <si>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</si>
  <si>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</si>
  <si>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</si>
  <si>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</si>
  <si>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</si>
  <si>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</si>
  <si>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</si>
  <si>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</si>
  <si>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</si>
  <si>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</si>
  <si>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</si>
  <si>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</si>
  <si>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</si>
  <si>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</si>
  <si>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</si>
  <si>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</si>
  <si>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</si>
  <si>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</si>
  <si>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</si>
  <si>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</si>
  <si>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</si>
  <si>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</si>
  <si>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</si>
  <si>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</si>
  <si>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</si>
  <si>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</si>
  <si>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</si>
  <si>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</si>
  <si>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</si>
  <si>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</si>
  <si>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</si>
  <si>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</si>
  <si>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</si>
  <si>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</si>
  <si>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</si>
  <si>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</si>
  <si>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</si>
  <si>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</si>
  <si>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</si>
  <si>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</si>
  <si>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</si>
  <si>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</si>
  <si>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</si>
  <si>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</si>
  <si>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</si>
  <si>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</si>
  <si>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</si>
  <si>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</si>
  <si>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</si>
  <si>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</si>
  <si>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</si>
  <si>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</si>
  <si>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</si>
  <si>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</si>
  <si>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</si>
  <si>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</si>
  <si>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</si>
  <si>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</si>
  <si>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</si>
  <si>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</si>
  <si>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</si>
  <si>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</si>
  <si>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</si>
  <si>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</si>
  <si>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</si>
  <si>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</si>
  <si>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</si>
  <si>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</si>
  <si>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</si>
  <si>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</si>
  <si>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</si>
  <si>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</si>
  <si>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</si>
  <si>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</si>
  <si>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</si>
  <si>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</si>
  <si>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</si>
  <si>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</si>
  <si>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</si>
  <si>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</si>
  <si>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</si>
  <si>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</si>
  <si>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</si>
  <si>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</si>
  <si>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</si>
  <si>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</si>
  <si>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</si>
  <si>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</si>
  <si>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</si>
  <si>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</si>
  <si>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</si>
  <si>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</si>
  <si>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</si>
  <si>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</si>
  <si>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</si>
  <si>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</si>
  <si>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</si>
  <si>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</si>
  <si>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</si>
  <si>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</si>
  <si>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</si>
  <si>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</si>
  <si>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</si>
  <si>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</si>
  <si>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</si>
  <si>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</si>
  <si>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</si>
  <si>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</si>
  <si>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</si>
  <si>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</si>
  <si>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</si>
  <si>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</si>
  <si>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</si>
  <si>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</si>
  <si>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</si>
  <si>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</si>
  <si>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</si>
  <si>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</si>
  <si>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</si>
  <si>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</si>
  <si>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</si>
  <si>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</si>
  <si>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</si>
  <si>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</si>
  <si>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</si>
  <si>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</si>
  <si>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</si>
  <si>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</si>
  <si>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</si>
  <si>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</si>
  <si>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</si>
  <si>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</si>
  <si>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</si>
  <si>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</si>
  <si>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</si>
  <si>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</si>
  <si>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</si>
  <si>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</si>
  <si>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</si>
  <si>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</si>
  <si>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</si>
  <si>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</si>
  <si>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</si>
  <si>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</si>
  <si>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</si>
  <si>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</si>
  <si>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</si>
  <si>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</si>
  <si>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</si>
  <si>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</si>
  <si>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</si>
  <si>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</si>
  <si>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</si>
  <si>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</si>
  <si>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</si>
  <si>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</si>
  <si>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</si>
  <si>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</si>
  <si>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</si>
  <si>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</si>
  <si>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</si>
  <si>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</si>
  <si>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</si>
  <si>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</si>
  <si>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</si>
  <si>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</si>
  <si>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</si>
  <si>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</si>
  <si>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</si>
  <si>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</si>
  <si>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</si>
  <si>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</si>
  <si>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</si>
  <si>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</si>
  <si>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</si>
  <si>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</si>
  <si>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</si>
  <si>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</si>
  <si>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</si>
  <si>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</si>
  <si>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</si>
  <si>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</si>
  <si>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</si>
  <si>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</si>
  <si>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</si>
  <si>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</si>
  <si>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</si>
  <si>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</si>
  <si>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</si>
  <si>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</si>
  <si>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</si>
  <si>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</si>
  <si>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</si>
  <si>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</si>
  <si>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</si>
  <si>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</si>
  <si>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</si>
  <si>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</si>
  <si>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</si>
  <si>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</si>
  <si>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</si>
  <si>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</si>
  <si>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</si>
  <si>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</si>
  <si>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</si>
  <si>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</si>
  <si>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</si>
  <si>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</si>
  <si>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</si>
  <si>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</si>
  <si>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</si>
  <si>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</si>
  <si>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</si>
  <si>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</si>
  <si>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</si>
  <si>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</si>
  <si>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</si>
  <si>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</si>
  <si>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</si>
  <si>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</si>
  <si>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</si>
  <si>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</si>
  <si>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</si>
  <si>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</si>
  <si>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</si>
  <si>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</si>
  <si>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</si>
  <si>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</si>
  <si>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</si>
  <si>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</si>
  <si>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</si>
  <si>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</si>
  <si>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</si>
  <si>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</si>
  <si>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</si>
  <si>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</si>
  <si>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</si>
  <si>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</si>
  <si>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</si>
  <si>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</si>
  <si>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</si>
  <si>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</si>
  <si>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</si>
  <si>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</si>
  <si>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</si>
  <si>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</si>
  <si>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</si>
  <si>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</si>
  <si>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</si>
  <si>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</si>
  <si>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</si>
  <si>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</si>
  <si>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</si>
  <si>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</si>
  <si>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</si>
  <si>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</si>
  <si>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</si>
  <si>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</si>
  <si>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</si>
  <si>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</si>
  <si>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</si>
  <si>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</si>
  <si>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</si>
  <si>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</si>
  <si>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</si>
  <si>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</si>
  <si>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</si>
  <si>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</si>
  <si>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</si>
  <si>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</si>
  <si>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</si>
  <si>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</si>
  <si>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</si>
  <si>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</si>
  <si>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</si>
  <si>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</si>
  <si>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</si>
  <si>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</si>
  <si>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</si>
  <si>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</si>
  <si>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</si>
  <si>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</si>
  <si>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</si>
  <si>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</si>
  <si>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</si>
  <si>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</si>
  <si>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</si>
  <si>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</si>
  <si>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</si>
  <si>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</si>
  <si>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</si>
  <si>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</si>
  <si>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</si>
  <si>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</si>
  <si>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</si>
  <si>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</si>
  <si>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</si>
  <si>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</si>
  <si>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</si>
  <si>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</si>
  <si>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</si>
  <si>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</si>
  <si>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</si>
  <si>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</si>
  <si>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</si>
  <si>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</si>
  <si>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</si>
  <si>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</si>
  <si>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</si>
  <si>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</si>
  <si>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</si>
  <si>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</si>
  <si>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</si>
  <si>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</si>
  <si>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</si>
  <si>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</si>
  <si>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</si>
  <si>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</si>
  <si>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</si>
  <si>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</si>
  <si>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</si>
  <si>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</si>
  <si>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</si>
  <si>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</si>
  <si>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</si>
  <si>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</si>
  <si>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</si>
  <si>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</si>
  <si>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</si>
  <si>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</si>
  <si>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</si>
  <si>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</si>
  <si>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</si>
  <si>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</si>
  <si>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</si>
  <si>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</si>
  <si>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</si>
  <si>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</si>
  <si>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</si>
  <si>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</si>
  <si>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</si>
  <si>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</si>
  <si>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</si>
  <si>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</si>
  <si>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</si>
  <si>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</si>
  <si>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</si>
  <si>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</si>
  <si>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</si>
  <si>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</si>
  <si>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</si>
  <si>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</si>
  <si>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</si>
  <si>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</si>
  <si>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</si>
  <si>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</si>
  <si>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</si>
  <si>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</si>
  <si>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</si>
  <si>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</si>
  <si>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</si>
  <si>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</si>
  <si>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</si>
  <si>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</si>
  <si>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</si>
  <si>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</si>
  <si>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</si>
  <si>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</si>
  <si>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</si>
  <si>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</si>
  <si>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</si>
  <si>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</si>
  <si>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</si>
  <si>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</si>
  <si>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</si>
  <si>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</si>
  <si>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</si>
  <si>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</si>
  <si>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</si>
  <si>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</si>
  <si>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</si>
  <si>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</si>
  <si>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</si>
  <si>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</si>
  <si>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</si>
  <si>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</si>
  <si>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</si>
  <si>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</si>
  <si>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</si>
  <si>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</si>
  <si>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</si>
  <si>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</si>
  <si>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</si>
  <si>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</si>
  <si>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</si>
  <si>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</si>
  <si>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</si>
  <si>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</si>
  <si>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</si>
  <si>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</si>
  <si>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</si>
  <si>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</si>
  <si>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</si>
  <si>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</si>
  <si>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</si>
  <si>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</si>
  <si>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</si>
  <si>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</si>
  <si>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</si>
  <si>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</si>
  <si>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</si>
  <si>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</si>
  <si>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</si>
  <si>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</si>
  <si>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</si>
  <si>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</si>
  <si>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</si>
  <si>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</si>
  <si>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</si>
  <si>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</si>
  <si>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</si>
  <si>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</si>
  <si>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</si>
  <si>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</si>
  <si>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</si>
  <si>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</si>
  <si>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</si>
  <si>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</si>
  <si>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</si>
  <si>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</si>
  <si>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</si>
  <si>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</si>
  <si>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</si>
  <si>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</si>
  <si>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</si>
  <si>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</si>
  <si>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</si>
  <si>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</si>
  <si>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</si>
  <si>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</si>
  <si>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</si>
  <si>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</si>
  <si>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</si>
  <si>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</si>
  <si>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</si>
  <si>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</si>
  <si>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</si>
  <si>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</si>
  <si>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</si>
  <si>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</si>
  <si>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</si>
  <si>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</si>
  <si>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</si>
  <si>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</si>
  <si>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</si>
  <si>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</si>
  <si>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</si>
  <si>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</si>
  <si>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</si>
  <si>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</si>
  <si>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</si>
  <si>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</si>
  <si>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</si>
  <si>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</si>
  <si>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</si>
  <si>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</si>
  <si>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</si>
  <si>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</si>
  <si>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</si>
  <si>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</si>
  <si>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</si>
  <si>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</si>
  <si>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</si>
  <si>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</si>
  <si>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</si>
  <si>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</si>
  <si>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</si>
  <si>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</si>
  <si>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</si>
  <si>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</si>
  <si>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</si>
  <si>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</si>
  <si>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</si>
  <si>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</si>
  <si>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</si>
  <si>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</si>
  <si>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</si>
  <si>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</si>
  <si>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</si>
  <si>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</si>
  <si>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</si>
  <si>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</si>
  <si>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</si>
  <si>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</si>
  <si>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</si>
  <si>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</si>
  <si>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</si>
  <si>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</si>
  <si>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</si>
  <si>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</si>
  <si>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</si>
  <si>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</si>
  <si>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</si>
  <si>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</si>
  <si>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</si>
  <si>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</si>
  <si>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</si>
  <si>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</si>
  <si>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</si>
  <si>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</si>
  <si>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</si>
  <si>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</si>
  <si>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</si>
  <si>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</si>
  <si>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</si>
  <si>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</si>
  <si>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</si>
  <si>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</si>
  <si>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</si>
  <si>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</si>
  <si>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</si>
  <si>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</si>
  <si>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</si>
  <si>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</si>
  <si>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</si>
  <si>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</si>
  <si>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</si>
  <si>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</si>
  <si>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</si>
  <si>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</si>
  <si>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</si>
  <si>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</si>
  <si>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</si>
  <si>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</si>
  <si>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</si>
  <si>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</si>
  <si>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</si>
  <si>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</si>
  <si>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</si>
  <si>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</si>
  <si>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</si>
  <si>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</si>
  <si>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</si>
  <si>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</si>
  <si>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</si>
  <si>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</si>
  <si>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</si>
  <si>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</si>
  <si>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</si>
  <si>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</si>
  <si>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</si>
  <si>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</si>
  <si>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</si>
  <si>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</si>
  <si>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</si>
  <si>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</si>
  <si>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</si>
  <si>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</si>
  <si>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</si>
  <si>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</si>
  <si>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</si>
  <si>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</si>
  <si>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</si>
  <si>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</si>
  <si>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</si>
  <si>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</si>
  <si>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</si>
  <si>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</si>
  <si>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</si>
  <si>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</si>
  <si>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</si>
  <si>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</si>
  <si>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</si>
  <si>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</si>
  <si>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</si>
  <si>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</si>
  <si>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</si>
  <si>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</si>
  <si>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</si>
  <si>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</si>
  <si>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</si>
  <si>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</si>
  <si>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</si>
  <si>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</si>
  <si>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</si>
  <si>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</si>
  <si>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</si>
  <si>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</si>
  <si>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</si>
  <si>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</si>
  <si>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</si>
  <si>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</si>
  <si>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</si>
  <si>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</si>
  <si>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</si>
  <si>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</si>
  <si>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</si>
  <si>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</si>
  <si>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</si>
  <si>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</si>
  <si>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</si>
  <si>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</si>
  <si>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</si>
  <si>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</si>
  <si>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</si>
  <si>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</si>
  <si>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</si>
  <si>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</si>
  <si>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</si>
  <si>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</si>
  <si>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</si>
  <si>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</si>
  <si>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</si>
  <si>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</si>
  <si>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</si>
  <si>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</si>
  <si>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</si>
  <si>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</si>
  <si>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</si>
  <si>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</si>
  <si>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</si>
  <si>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</si>
  <si>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</si>
  <si>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</si>
  <si>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</si>
  <si>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</si>
  <si>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</si>
  <si>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</si>
  <si>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</si>
  <si>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</si>
  <si>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</si>
  <si>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</si>
  <si>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</si>
  <si>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</si>
  <si>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</si>
  <si>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</si>
  <si>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</si>
  <si>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</si>
  <si>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</si>
  <si>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</si>
  <si>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</si>
  <si>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</si>
  <si>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</si>
  <si>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</si>
  <si>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</si>
  <si>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</si>
  <si>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</si>
  <si>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</si>
  <si>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</si>
  <si>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</si>
  <si>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</si>
  <si>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</si>
  <si>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</si>
  <si>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</si>
  <si>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</si>
  <si>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</si>
  <si>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</si>
  <si>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</si>
  <si>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</si>
  <si>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</si>
  <si>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</si>
  <si>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</si>
  <si>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</si>
  <si>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</si>
  <si>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</si>
  <si>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</si>
  <si>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</si>
  <si>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</si>
  <si>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</si>
  <si>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</si>
  <si>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</si>
  <si>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</si>
  <si>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</si>
  <si>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</si>
  <si>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</si>
  <si>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</si>
  <si>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</si>
  <si>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</si>
  <si>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</si>
  <si>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</si>
  <si>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</si>
  <si>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</si>
  <si>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</si>
  <si>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</si>
  <si>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</si>
  <si>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</si>
  <si>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</si>
  <si>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</si>
  <si>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</si>
  <si>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</si>
  <si>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</si>
  <si>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</si>
  <si>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</si>
  <si>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</si>
  <si>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</si>
  <si>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</si>
  <si>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</si>
  <si>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</si>
  <si>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</si>
  <si>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</si>
  <si>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</si>
  <si>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</si>
  <si>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</si>
  <si>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</si>
  <si>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</si>
  <si>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</si>
  <si>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</si>
  <si>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</si>
  <si>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</si>
  <si>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</si>
  <si>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</si>
  <si>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</si>
  <si>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</si>
  <si>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</si>
  <si>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</si>
  <si>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</si>
  <si>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</si>
  <si>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</si>
  <si>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</si>
  <si>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</si>
  <si>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</si>
  <si>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</si>
  <si>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</si>
  <si>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</si>
  <si>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</si>
  <si>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</si>
  <si>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</si>
  <si>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</si>
  <si>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</si>
  <si>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</si>
  <si>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</si>
  <si>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</si>
  <si>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</si>
  <si>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</si>
  <si>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</si>
  <si>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</si>
  <si>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</si>
  <si>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</si>
  <si>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</si>
  <si>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</si>
  <si>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</si>
  <si>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</si>
  <si>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</si>
  <si>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</si>
  <si>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</si>
  <si>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</si>
  <si>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</si>
  <si>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</si>
  <si>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</si>
  <si>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</si>
  <si>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</si>
  <si>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</si>
  <si>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</si>
  <si>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</si>
  <si>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</si>
  <si>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</si>
  <si>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</si>
  <si>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</si>
  <si>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</si>
  <si>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</si>
  <si>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</si>
  <si>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</si>
  <si>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</si>
  <si>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</si>
  <si>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</si>
  <si>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</si>
  <si>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</si>
  <si>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</si>
  <si>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</si>
  <si>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</si>
  <si>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</si>
  <si>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</si>
  <si>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</si>
  <si>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</si>
  <si>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</si>
  <si>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</si>
  <si>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</si>
  <si>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</si>
  <si>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</si>
  <si>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</si>
  <si>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</si>
  <si>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</si>
  <si>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</si>
  <si>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</si>
  <si>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</si>
  <si>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</si>
  <si>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</si>
  <si>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</si>
  <si>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</si>
  <si>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</si>
  <si>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</si>
  <si>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</si>
  <si>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</si>
  <si>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</si>
  <si>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</si>
  <si>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</si>
  <si>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</si>
  <si>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</si>
  <si>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</si>
  <si>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</si>
  <si>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</si>
  <si>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</si>
  <si>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</si>
  <si>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</si>
  <si>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</si>
  <si>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</si>
  <si>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</si>
  <si>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</si>
  <si>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</si>
  <si>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</si>
  <si>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</si>
  <si>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</si>
  <si>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</si>
  <si>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</si>
  <si>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</si>
  <si>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</si>
  <si>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</si>
  <si>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</si>
  <si>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</si>
  <si>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</si>
  <si>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</si>
  <si>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</si>
  <si>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</si>
  <si>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</si>
  <si>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</si>
  <si>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</si>
  <si>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</si>
  <si>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</si>
  <si>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</si>
  <si>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</si>
  <si>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</si>
  <si>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</si>
  <si>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</si>
  <si>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</si>
  <si>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</si>
  <si>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</si>
  <si>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</si>
  <si>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</si>
  <si>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</si>
  <si>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</si>
  <si>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</si>
  <si>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</si>
  <si>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</si>
  <si>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</si>
  <si>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</si>
  <si>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</si>
  <si>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</si>
  <si>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</si>
  <si>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</si>
  <si>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</si>
  <si>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</si>
  <si>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</si>
  <si>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</si>
  <si>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</si>
  <si>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</si>
  <si>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</si>
  <si>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</si>
  <si>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</si>
  <si>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</si>
  <si>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</si>
  <si>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</si>
  <si>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</si>
  <si>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</si>
  <si>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</si>
  <si>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</si>
  <si>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</si>
  <si>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</si>
  <si>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</si>
  <si>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</si>
  <si>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</si>
  <si>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</si>
  <si>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</si>
  <si>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</si>
  <si>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</si>
  <si>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</si>
  <si>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</si>
  <si>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</si>
  <si>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</si>
  <si>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</si>
  <si>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</si>
  <si>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</si>
  <si>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</si>
  <si>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</si>
  <si>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</si>
  <si>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</si>
  <si>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</si>
  <si>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</si>
  <si>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</si>
  <si>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</si>
  <si>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</si>
  <si>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</si>
  <si>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</si>
  <si>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</si>
  <si>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</si>
  <si>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</si>
  <si>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</si>
  <si>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</si>
  <si>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</si>
  <si>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</si>
  <si>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</si>
  <si>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</si>
  <si>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</si>
  <si>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</si>
  <si>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</si>
  <si>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</si>
  <si>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</si>
  <si>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</si>
  <si>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</si>
  <si>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</si>
  <si>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</si>
  <si>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</si>
  <si>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</si>
  <si>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</si>
  <si>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</si>
  <si>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</si>
  <si>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</si>
  <si>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</si>
  <si>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</si>
  <si>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</si>
  <si>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</si>
  <si>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</si>
  <si>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</si>
  <si>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</si>
  <si>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</si>
  <si>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</si>
  <si>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</si>
  <si>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</si>
  <si>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</si>
  <si>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</si>
  <si>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</si>
  <si>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</si>
  <si>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</si>
  <si>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</si>
  <si>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</si>
  <si>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</si>
  <si>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</si>
  <si>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</si>
  <si>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</si>
  <si>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</si>
  <si>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</si>
  <si>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</si>
  <si>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</si>
  <si>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</si>
  <si>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</si>
  <si>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</si>
  <si>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</si>
  <si>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</si>
  <si>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</si>
  <si>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</si>
  <si>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</si>
  <si>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</si>
  <si>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</si>
  <si>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</si>
  <si>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</si>
  <si>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</si>
  <si>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</si>
  <si>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</si>
  <si>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</si>
  <si>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</si>
  <si>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</si>
  <si>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</si>
  <si>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</si>
  <si>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</si>
  <si>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</si>
  <si>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</si>
  <si>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</si>
  <si>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</si>
  <si>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</si>
  <si>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</si>
  <si>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</si>
  <si>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</si>
  <si>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</si>
  <si>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</si>
  <si>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</si>
  <si>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</si>
  <si>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</si>
  <si>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</si>
  <si>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</si>
  <si>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</si>
  <si>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</si>
  <si>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</si>
  <si>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</si>
  <si>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</si>
  <si>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</si>
  <si>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</si>
  <si>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</si>
  <si>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</si>
  <si>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</si>
  <si>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</si>
  <si>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</si>
  <si>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</si>
  <si>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</si>
  <si>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</si>
  <si>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</si>
  <si>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</si>
  <si>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</si>
  <si>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</si>
  <si>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</si>
  <si>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</si>
  <si>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</si>
  <si>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</si>
  <si>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</si>
  <si>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</si>
  <si>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</si>
  <si>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</si>
  <si>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</si>
  <si>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</si>
  <si>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</si>
  <si>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</si>
  <si>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</si>
  <si>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</si>
  <si>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</si>
  <si>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</si>
  <si>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</si>
  <si>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</si>
  <si>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</si>
  <si>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</si>
  <si>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</si>
  <si>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</si>
  <si>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</si>
  <si>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</si>
  <si>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</si>
  <si>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</si>
  <si>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</si>
  <si>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</si>
  <si>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</si>
  <si>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</si>
  <si>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</si>
  <si>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</si>
  <si>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</si>
  <si>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</si>
  <si>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</si>
  <si>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</si>
  <si>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</si>
  <si>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</si>
  <si>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</si>
  <si>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</si>
  <si>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</si>
  <si>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</si>
  <si>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</si>
  <si>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</si>
  <si>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</si>
  <si>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</si>
  <si>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</si>
  <si>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</si>
  <si>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</si>
  <si>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</si>
  <si>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</si>
  <si>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</si>
  <si>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</si>
  <si>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</si>
  <si>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</si>
  <si>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</si>
  <si>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</si>
  <si>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</si>
  <si>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</si>
  <si>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</si>
  <si>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</si>
  <si>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</si>
  <si>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</si>
  <si>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</si>
  <si>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</si>
  <si>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</si>
  <si>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</si>
  <si>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</si>
  <si>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</si>
  <si>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</si>
  <si>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</si>
  <si>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</si>
  <si>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</si>
  <si>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</si>
  <si>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</si>
  <si>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</si>
  <si>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</si>
  <si>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</si>
  <si>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</si>
  <si>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</si>
  <si>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</si>
  <si>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</si>
  <si>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</si>
  <si>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</si>
  <si>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</si>
  <si>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</si>
  <si>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</si>
  <si>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</si>
  <si>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</si>
  <si>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</si>
  <si>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</si>
  <si>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</si>
  <si>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</si>
  <si>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</si>
  <si>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</si>
  <si>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</si>
  <si>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</si>
  <si>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</si>
  <si>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</si>
  <si>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</si>
  <si>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</si>
  <si>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</si>
  <si>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</si>
  <si>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</si>
  <si>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</si>
  <si>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</si>
  <si>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</si>
  <si>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</si>
  <si>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</si>
  <si>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</si>
  <si>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</si>
  <si>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</si>
  <si>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</si>
  <si>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</si>
  <si>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</si>
  <si>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</si>
  <si>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</si>
  <si>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</si>
  <si>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</si>
  <si>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</si>
  <si>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</si>
  <si>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</si>
  <si>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</si>
  <si>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</si>
  <si>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</si>
  <si>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</si>
  <si>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</si>
  <si>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</si>
  <si>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</si>
  <si>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</si>
  <si>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</si>
  <si>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</si>
  <si>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</si>
  <si>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</si>
  <si>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</si>
  <si>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</si>
  <si>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</si>
  <si>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</si>
  <si>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</si>
  <si>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</si>
  <si>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</si>
  <si>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</si>
  <si>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</si>
  <si>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</si>
  <si>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</si>
  <si>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</si>
  <si>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</si>
  <si>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</si>
  <si>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</si>
  <si>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</si>
  <si>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</si>
  <si>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</si>
  <si>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</si>
  <si>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</si>
  <si>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</si>
  <si>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</si>
  <si>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</si>
  <si>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</si>
  <si>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</si>
  <si>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</si>
  <si>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</si>
  <si>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</si>
  <si>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</si>
  <si>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</si>
  <si>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</si>
  <si>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</si>
  <si>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</si>
  <si>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</si>
  <si>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</si>
  <si>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</si>
  <si>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</si>
  <si>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</si>
  <si>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</si>
  <si>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</si>
  <si>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</si>
  <si>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</si>
  <si>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</si>
  <si>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</si>
  <si>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</si>
  <si>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</si>
  <si>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</si>
  <si>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</si>
  <si>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</si>
  <si>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</si>
  <si>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</si>
  <si>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</si>
  <si>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</si>
  <si>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</si>
  <si>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</si>
  <si>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</si>
  <si>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</si>
  <si>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</si>
  <si>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</si>
  <si>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</si>
  <si>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</si>
  <si>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</si>
  <si>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</si>
  <si>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</si>
  <si>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</si>
  <si>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</si>
  <si>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</si>
  <si>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</si>
  <si>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</si>
  <si>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</si>
  <si>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</si>
  <si>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</si>
  <si>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</si>
  <si>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</si>
  <si>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</si>
  <si>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</si>
  <si>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</si>
  <si>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</si>
  <si>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</si>
  <si>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</si>
  <si>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</si>
  <si>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</si>
  <si>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</si>
  <si>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</si>
  <si>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</si>
  <si>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</si>
  <si>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</si>
  <si>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</si>
  <si>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</si>
  <si>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</si>
  <si>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</si>
  <si>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</si>
  <si>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</si>
  <si>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</si>
  <si>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</si>
  <si>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</si>
  <si>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</si>
  <si>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</si>
  <si>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</si>
  <si>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</si>
  <si>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</si>
  <si>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</si>
  <si>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</si>
  <si>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</si>
  <si>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</si>
  <si>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</si>
  <si>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</si>
  <si>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</si>
  <si>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</si>
  <si>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</si>
  <si>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</si>
  <si>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</si>
  <si>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</si>
  <si>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</si>
  <si>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</si>
  <si>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</si>
  <si>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</si>
  <si>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</si>
  <si>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</si>
  <si>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</si>
  <si>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</si>
  <si>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</si>
  <si>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</si>
  <si>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</si>
  <si>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</si>
  <si>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</si>
  <si>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</si>
  <si>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</si>
  <si>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</si>
  <si>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</si>
  <si>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</si>
  <si>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</si>
  <si>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</si>
  <si>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</si>
  <si>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</si>
  <si>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</si>
  <si>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</si>
  <si>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</si>
  <si>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</si>
  <si>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</si>
  <si>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</si>
  <si>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</si>
  <si>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</si>
  <si>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</si>
  <si>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</si>
  <si>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</si>
  <si>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</si>
  <si>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</si>
  <si>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</si>
  <si>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</si>
  <si>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</si>
  <si>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</si>
  <si>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</si>
  <si>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</si>
  <si>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</si>
  <si>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</si>
  <si>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</si>
  <si>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</si>
  <si>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</si>
  <si>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</si>
  <si>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</si>
  <si>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</si>
  <si>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</si>
  <si>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</si>
  <si>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</si>
  <si>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</si>
  <si>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</si>
  <si>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</si>
  <si>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</si>
  <si>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</si>
  <si>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</si>
  <si>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</si>
  <si>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</si>
  <si>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</si>
  <si>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</si>
  <si>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</si>
  <si>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</si>
  <si>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</si>
  <si>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</si>
  <si>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</si>
  <si>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</si>
  <si>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</si>
  <si>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</si>
  <si>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</si>
  <si>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</si>
  <si>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</si>
  <si>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</si>
  <si>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</si>
  <si>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</si>
  <si>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</si>
  <si>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</si>
  <si>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</si>
  <si>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</si>
  <si>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</si>
  <si>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</si>
  <si>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</si>
  <si>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</si>
  <si>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</si>
  <si>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</si>
  <si>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</si>
  <si>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</si>
  <si>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</si>
  <si>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</si>
  <si>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</si>
  <si>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</si>
  <si>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</si>
  <si>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</si>
  <si>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</si>
  <si>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</si>
  <si>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</si>
  <si>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</si>
  <si>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</si>
  <si>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</si>
  <si>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</si>
  <si>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</si>
  <si>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</si>
  <si>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</si>
  <si>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</si>
  <si>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</si>
  <si>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</si>
  <si>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</si>
  <si>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</si>
  <si>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</si>
  <si>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</si>
  <si>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</si>
  <si>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</si>
  <si>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</si>
  <si>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</si>
  <si>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</si>
  <si>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</si>
  <si>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</si>
  <si>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</si>
  <si>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</si>
  <si>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</si>
  <si>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</si>
  <si>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</si>
  <si>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</si>
  <si>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</si>
  <si>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</si>
  <si>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</si>
  <si>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</si>
  <si>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</si>
  <si>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</si>
  <si>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</si>
  <si>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</si>
  <si>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</si>
  <si>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</si>
  <si>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</si>
  <si>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</si>
  <si>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</si>
  <si>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</si>
  <si>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</si>
  <si>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</si>
  <si>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</si>
  <si>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</si>
  <si>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</si>
  <si>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</si>
  <si>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</si>
  <si>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</si>
  <si>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</si>
  <si>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</si>
  <si>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</si>
  <si>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</si>
  <si>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</si>
  <si>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</si>
  <si>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</si>
  <si>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</si>
  <si>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</si>
  <si>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</si>
  <si>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</si>
  <si>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</si>
  <si>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</si>
  <si>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</si>
  <si>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</si>
  <si>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</si>
  <si>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</si>
  <si>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</si>
  <si>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</si>
  <si>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</si>
  <si>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</si>
  <si>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</si>
  <si>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</si>
  <si>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</si>
  <si>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</si>
  <si>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</si>
  <si>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</si>
  <si>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</si>
  <si>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</si>
  <si>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</si>
  <si>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</si>
  <si>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</si>
  <si>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</si>
  <si>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</si>
  <si>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</si>
  <si>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</si>
  <si>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</si>
  <si>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</si>
  <si>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</si>
  <si>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</si>
  <si>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</si>
  <si>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</si>
  <si>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</si>
  <si>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</si>
  <si>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</si>
  <si>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</si>
  <si>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</si>
  <si>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</si>
  <si>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</si>
  <si>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</si>
  <si>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</si>
  <si>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</si>
  <si>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</si>
  <si>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</si>
  <si>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</si>
  <si>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</si>
  <si>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</si>
  <si>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</si>
  <si>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</si>
  <si>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</si>
  <si>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</si>
  <si>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</si>
  <si>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</si>
  <si>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</si>
  <si>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</si>
  <si>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</si>
  <si>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</si>
  <si>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</si>
  <si>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</si>
  <si>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</si>
  <si>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</si>
  <si>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</si>
  <si>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</si>
  <si>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</si>
  <si>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</si>
  <si>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</si>
  <si>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</si>
  <si>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</si>
  <si>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</si>
  <si>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</si>
  <si>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</si>
  <si>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</si>
  <si>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</si>
  <si>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</si>
  <si>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</si>
  <si>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</si>
  <si>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</si>
  <si>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</si>
  <si>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</si>
  <si>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</si>
  <si>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</si>
  <si>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</si>
  <si>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</si>
  <si>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</si>
  <si>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</si>
  <si>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</si>
  <si>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</si>
  <si>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</si>
  <si>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</si>
  <si>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</si>
  <si>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</si>
  <si>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</si>
  <si>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</si>
  <si>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</si>
  <si>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</si>
  <si>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</si>
  <si>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</si>
  <si>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</si>
  <si>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</si>
  <si>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</si>
  <si>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</si>
  <si>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</si>
  <si>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</si>
  <si>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</si>
  <si>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</si>
  <si>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</si>
  <si>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</si>
  <si>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</si>
  <si>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</si>
  <si>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</si>
  <si>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</si>
  <si>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</si>
  <si>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</si>
  <si>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</si>
  <si>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</si>
  <si>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</si>
  <si>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</si>
  <si>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</si>
  <si>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</si>
  <si>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</si>
  <si>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</si>
  <si>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</si>
  <si>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</si>
  <si>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</si>
  <si>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</si>
  <si>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</si>
  <si>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</si>
  <si>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</si>
  <si>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</si>
  <si>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</si>
  <si>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</si>
  <si>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</si>
  <si>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</si>
  <si>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</si>
  <si>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</si>
  <si>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</si>
  <si>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</si>
  <si>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</si>
  <si>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</si>
  <si>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</si>
  <si>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</si>
  <si>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</si>
  <si>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</si>
  <si>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</si>
  <si>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</si>
  <si>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</si>
  <si>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</si>
  <si>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</si>
  <si>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</si>
  <si>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</si>
  <si>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</si>
  <si>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</si>
  <si>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</si>
  <si>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</si>
  <si>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</si>
  <si>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</si>
  <si>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</si>
  <si>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</si>
  <si>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</si>
  <si>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</si>
  <si>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</si>
  <si>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</si>
  <si>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</si>
  <si>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</si>
  <si>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</si>
  <si>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</si>
  <si>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</si>
  <si>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</si>
  <si>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</si>
  <si>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</si>
  <si>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</si>
  <si>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</si>
  <si>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</si>
  <si>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</si>
  <si>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</si>
  <si>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</si>
  <si>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</si>
  <si>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</si>
  <si>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</si>
  <si>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</si>
  <si>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</si>
  <si>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</si>
  <si>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</si>
  <si>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</si>
  <si>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</si>
  <si>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</si>
  <si>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</si>
  <si>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</si>
  <si>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</si>
  <si>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</si>
  <si>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</si>
  <si>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</si>
  <si>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</si>
  <si>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</si>
  <si>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</si>
  <si>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</si>
  <si>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</si>
  <si>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</si>
  <si>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</si>
  <si>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</si>
  <si>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</si>
  <si>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</si>
  <si>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</si>
  <si>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</si>
  <si>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</si>
  <si>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</si>
  <si>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</si>
  <si>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</si>
  <si>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</si>
  <si>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</si>
  <si>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</si>
  <si>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</si>
  <si>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</si>
  <si>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</si>
  <si>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</si>
  <si>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</si>
  <si>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</si>
  <si>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</si>
  <si>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</si>
  <si>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</si>
  <si>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</si>
  <si>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</si>
  <si>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</si>
  <si>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</si>
  <si>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</si>
  <si>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</si>
  <si>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</si>
  <si>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</si>
  <si>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</si>
  <si>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</si>
  <si>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</si>
  <si>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</si>
  <si>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</si>
  <si>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</si>
  <si>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</si>
  <si>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</si>
  <si>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</si>
  <si>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</si>
  <si>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</si>
  <si>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</si>
  <si>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</si>
  <si>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</si>
  <si>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</si>
  <si>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</si>
  <si>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</si>
  <si>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</si>
  <si>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</si>
  <si>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</si>
  <si>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</si>
  <si>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</si>
  <si>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</si>
  <si>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</si>
  <si>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</si>
  <si>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</si>
  <si>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</si>
  <si>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</si>
  <si>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</si>
  <si>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</si>
  <si>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</si>
  <si>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</si>
  <si>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</si>
  <si>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</si>
  <si>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</si>
  <si>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</si>
  <si>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</si>
  <si>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</si>
  <si>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</si>
  <si>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</si>
  <si>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</si>
  <si>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</si>
  <si>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</si>
  <si>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</si>
  <si>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</si>
  <si>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</si>
  <si>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</si>
  <si>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</si>
  <si>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</si>
  <si>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</si>
  <si>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</si>
  <si>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</si>
  <si>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</si>
  <si>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</si>
  <si>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</si>
  <si>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</si>
  <si>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</si>
  <si>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</si>
  <si>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</si>
  <si>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</si>
  <si>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</si>
  <si>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</si>
  <si>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</si>
  <si>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</si>
  <si>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</si>
  <si>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</si>
  <si>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</si>
  <si>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</si>
  <si>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</si>
  <si>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</si>
  <si>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</si>
  <si>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</si>
  <si>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</si>
  <si>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</si>
  <si>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</si>
  <si>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</si>
  <si>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</si>
  <si>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</si>
  <si>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</si>
  <si>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</si>
  <si>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</si>
  <si>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</si>
  <si>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</si>
  <si>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</si>
  <si>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</si>
  <si>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</si>
  <si>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</si>
  <si>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</si>
  <si>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</si>
  <si>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</si>
  <si>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</si>
  <si>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</si>
  <si>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</si>
  <si>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</si>
  <si>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</si>
  <si>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</si>
  <si>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</si>
  <si>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</si>
  <si>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</si>
  <si>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</si>
  <si>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</si>
  <si>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</si>
  <si>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</si>
  <si>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</si>
  <si>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</si>
  <si>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</si>
  <si>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</si>
  <si>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</si>
  <si>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</si>
  <si>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</si>
  <si>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</si>
  <si>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</si>
  <si>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</si>
  <si>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</si>
  <si>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</si>
  <si>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</si>
  <si>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</si>
  <si>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</si>
  <si>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</si>
  <si>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</si>
  <si>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</si>
  <si>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</si>
  <si>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</si>
  <si>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</si>
  <si>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</si>
  <si>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</si>
  <si>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</si>
  <si>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</si>
  <si>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</si>
  <si>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</si>
  <si>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</si>
  <si>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</si>
  <si>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</si>
  <si>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</si>
  <si>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</si>
  <si>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</si>
  <si>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</si>
  <si>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</si>
  <si>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</si>
  <si>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</si>
  <si>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</si>
  <si>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</si>
  <si>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</si>
  <si>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</si>
  <si>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</si>
  <si>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</si>
  <si>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</si>
  <si>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</si>
  <si>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</si>
  <si>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</si>
  <si>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</si>
  <si>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</si>
  <si>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</si>
  <si>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</si>
  <si>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</si>
  <si>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</si>
  <si>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</si>
  <si>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</si>
  <si>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</si>
  <si>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</si>
  <si>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</si>
  <si>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</si>
  <si>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</si>
  <si>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</si>
  <si>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</si>
  <si>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</si>
  <si>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</si>
  <si>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</si>
  <si>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</si>
  <si>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</si>
  <si>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</si>
  <si>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</si>
  <si>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</si>
  <si>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</si>
  <si>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</si>
  <si>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</si>
  <si>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</si>
  <si>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</si>
  <si>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</si>
  <si>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</si>
  <si>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</si>
  <si>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</si>
  <si>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</si>
  <si>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</si>
  <si>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</si>
  <si>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</si>
  <si>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</si>
  <si>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</si>
  <si>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</si>
  <si>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</si>
  <si>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</si>
  <si>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</si>
  <si>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</si>
  <si>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</si>
  <si>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</si>
  <si>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</si>
  <si>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</si>
  <si>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</si>
  <si>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</si>
  <si>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</si>
  <si>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</si>
  <si>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</si>
  <si>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</si>
  <si>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</si>
  <si>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</si>
  <si>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</si>
  <si>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</si>
  <si>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</si>
  <si>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</si>
  <si>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</si>
  <si>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</si>
  <si>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</si>
  <si>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</si>
  <si>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</si>
  <si>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</si>
  <si>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</si>
  <si>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</si>
  <si>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</si>
  <si>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</si>
  <si>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</si>
  <si>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</si>
  <si>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</si>
  <si>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</si>
  <si>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</si>
  <si>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</si>
  <si>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</si>
  <si>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</si>
  <si>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</si>
  <si>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</si>
  <si>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</si>
  <si>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</si>
  <si>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</si>
  <si>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</si>
  <si>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</si>
  <si>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</si>
  <si>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</si>
  <si>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</si>
  <si>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</si>
  <si>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</si>
  <si>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</si>
  <si>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</si>
  <si>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</si>
  <si>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</si>
  <si>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</si>
  <si>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</si>
  <si>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</si>
  <si>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</si>
  <si>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</si>
  <si>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</si>
  <si>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</si>
  <si>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</si>
  <si>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</si>
  <si>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</si>
  <si>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</si>
  <si>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</si>
  <si>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</si>
  <si>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</si>
  <si>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</si>
  <si>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</si>
  <si>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</si>
  <si>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</si>
  <si>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</si>
  <si>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</si>
  <si>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</si>
  <si>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</si>
  <si>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</si>
  <si>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</si>
  <si>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</si>
  <si>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</si>
  <si>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</si>
  <si>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</si>
  <si>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</si>
  <si>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</si>
  <si>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</si>
  <si>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</si>
  <si>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</si>
  <si>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</si>
  <si>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</si>
  <si>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</si>
  <si>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</si>
  <si>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</si>
  <si>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</si>
  <si>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</si>
  <si>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</si>
  <si>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</si>
  <si>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</si>
  <si>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</si>
  <si>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</si>
  <si>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</si>
  <si>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</si>
  <si>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</si>
  <si>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</si>
  <si>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</si>
  <si>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</si>
  <si>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</si>
  <si>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</si>
  <si>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</si>
  <si>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</si>
  <si>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</si>
  <si>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</si>
  <si>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</si>
  <si>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</si>
  <si>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</si>
  <si>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</si>
  <si>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</si>
  <si>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</si>
  <si>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</si>
  <si>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</si>
  <si>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</si>
  <si>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</si>
  <si>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</si>
  <si>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</si>
  <si>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</si>
  <si>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</si>
  <si>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</si>
  <si>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</si>
  <si>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</si>
  <si>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</si>
  <si>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</si>
  <si>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</si>
  <si>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</si>
  <si>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</si>
  <si>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</si>
  <si>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</si>
  <si>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</si>
  <si>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</si>
  <si>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</si>
  <si>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</si>
  <si>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</si>
  <si>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</si>
  <si>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</si>
  <si>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</si>
  <si>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</si>
  <si>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</si>
  <si>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</si>
  <si>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</si>
  <si>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</si>
  <si>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</si>
  <si>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</si>
  <si>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</si>
  <si>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</si>
  <si>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</si>
  <si>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</si>
  <si>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</si>
  <si>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</si>
  <si>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</si>
  <si>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</si>
  <si>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</si>
  <si>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</si>
  <si>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</si>
  <si>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</si>
  <si>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</si>
  <si>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</si>
  <si>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</si>
  <si>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</si>
  <si>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</si>
  <si>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</si>
  <si>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</si>
  <si>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</si>
  <si>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</si>
  <si>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</si>
  <si>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</si>
  <si>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</si>
  <si>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</si>
  <si>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</si>
  <si>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</si>
  <si>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</si>
  <si>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</si>
  <si>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</si>
  <si>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</si>
  <si>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</si>
  <si>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</si>
  <si>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</si>
  <si>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</si>
  <si>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</si>
  <si>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</si>
  <si>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</si>
  <si>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</si>
  <si>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</si>
  <si>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</si>
  <si>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</si>
  <si>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</si>
  <si>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</si>
  <si>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</si>
  <si>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</si>
  <si>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</si>
  <si>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</si>
  <si>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</si>
  <si>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</si>
  <si>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</si>
  <si>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</si>
  <si>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</si>
  <si>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</si>
  <si>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</si>
  <si>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</si>
  <si>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</si>
  <si>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</si>
  <si>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</si>
  <si>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</si>
  <si>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</si>
  <si>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</si>
  <si>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</si>
  <si>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</si>
  <si>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</si>
  <si>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</si>
  <si>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</si>
  <si>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</si>
  <si>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</si>
  <si>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</si>
  <si>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</si>
  <si>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</si>
  <si>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</si>
  <si>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</si>
  <si>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</si>
  <si>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</si>
  <si>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</si>
  <si>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</si>
  <si>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</si>
  <si>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</si>
  <si>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</si>
  <si>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</si>
  <si>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</si>
  <si>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</si>
  <si>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</si>
  <si>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</si>
  <si>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</si>
  <si>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</si>
  <si>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</si>
  <si>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</si>
  <si>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</si>
  <si>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</si>
  <si>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</si>
  <si>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</si>
  <si>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</si>
  <si>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</si>
  <si>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</si>
  <si>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</si>
  <si>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</si>
  <si>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</si>
  <si>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</si>
  <si>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</si>
  <si>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</si>
  <si>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</si>
  <si>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</si>
  <si>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</si>
  <si>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</si>
  <si>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</si>
  <si>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</si>
  <si>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</si>
  <si>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</si>
  <si>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</si>
  <si>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</si>
  <si>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</si>
  <si>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</si>
  <si>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</si>
  <si>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</si>
  <si>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</si>
  <si>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</si>
  <si>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</si>
  <si>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</si>
  <si>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</si>
  <si>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</si>
  <si>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</si>
  <si>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</si>
  <si>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</si>
  <si>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</si>
  <si>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</si>
  <si>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</si>
  <si>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</si>
  <si>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</si>
  <si>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</si>
  <si>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</si>
  <si>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</si>
  <si>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</si>
  <si>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</si>
  <si>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</si>
  <si>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</si>
  <si>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</si>
  <si>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</si>
  <si>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</si>
  <si>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</si>
  <si>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</si>
  <si>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</si>
  <si>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</si>
  <si>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</si>
  <si>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</si>
  <si>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</si>
  <si>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</si>
  <si>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</si>
  <si>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</si>
  <si>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</si>
  <si>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</si>
  <si>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</si>
  <si>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</si>
  <si>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</si>
  <si>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</si>
  <si>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</si>
  <si>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</si>
  <si>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</si>
  <si>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</si>
  <si>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</si>
  <si>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</si>
  <si>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</si>
  <si>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</si>
  <si>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</si>
  <si>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</si>
  <si>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</si>
  <si>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</si>
  <si>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</si>
  <si>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</si>
  <si>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</si>
  <si>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</si>
  <si>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</si>
  <si>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</si>
  <si>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</si>
  <si>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</si>
  <si>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</si>
  <si>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</si>
  <si>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</si>
  <si>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</si>
  <si>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</si>
  <si>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</si>
  <si>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</si>
  <si>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</si>
  <si>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</si>
  <si>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</si>
  <si>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</si>
  <si>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</si>
  <si>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</si>
  <si>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</si>
  <si>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</si>
  <si>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</si>
  <si>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</si>
  <si>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</si>
  <si>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</si>
  <si>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</si>
  <si>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</si>
  <si>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</si>
  <si>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</si>
  <si>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</si>
  <si>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</si>
  <si>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</si>
  <si>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</si>
  <si>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</si>
  <si>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</si>
  <si>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</si>
  <si>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</si>
  <si>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</si>
  <si>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</si>
  <si>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</si>
  <si>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</si>
  <si>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</si>
  <si>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</si>
  <si>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</si>
  <si>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</si>
  <si>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</si>
  <si>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</si>
  <si>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</si>
  <si>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</si>
  <si>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</si>
  <si>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</si>
  <si>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</si>
  <si>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</si>
  <si>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</si>
  <si>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</si>
  <si>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</si>
  <si>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</si>
  <si>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</si>
  <si>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</si>
  <si>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</si>
  <si>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</si>
  <si>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</si>
  <si>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</si>
  <si>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</si>
  <si>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</si>
  <si>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</si>
  <si>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</si>
  <si>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</si>
  <si>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</si>
  <si>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</si>
  <si>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</si>
  <si>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</si>
  <si>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</si>
  <si>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</si>
  <si>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</si>
  <si>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</si>
  <si>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</si>
  <si>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</si>
  <si>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</si>
  <si>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</si>
  <si>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</si>
  <si>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</si>
  <si>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</si>
  <si>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</si>
  <si>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</si>
  <si>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</si>
  <si>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</si>
  <si>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</si>
  <si>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</si>
  <si>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</si>
  <si>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</si>
  <si>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</si>
  <si>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</si>
  <si>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</si>
  <si>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</si>
  <si>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</si>
  <si>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</si>
  <si>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</si>
  <si>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</si>
  <si>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</si>
  <si>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</si>
  <si>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</si>
  <si>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</si>
  <si>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</si>
  <si>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</si>
  <si>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</si>
  <si>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</si>
  <si>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</si>
  <si>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</si>
  <si>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</si>
  <si>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</si>
  <si>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</si>
  <si>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</si>
  <si>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</si>
  <si>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</si>
  <si>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</si>
  <si>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</si>
  <si>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</si>
  <si>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</si>
  <si>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</si>
  <si>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</si>
  <si>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</si>
  <si>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</si>
  <si>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</si>
  <si>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</si>
  <si>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</si>
  <si>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</si>
  <si>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</si>
  <si>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</si>
  <si>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</si>
  <si>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</si>
  <si>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</si>
  <si>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</si>
  <si>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</si>
  <si>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</si>
  <si>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</si>
  <si>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</si>
  <si>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</si>
  <si>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</si>
  <si>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</si>
  <si>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</si>
  <si>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</si>
  <si>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</si>
  <si>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</si>
  <si>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</si>
  <si>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</si>
  <si>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</si>
  <si>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</si>
  <si>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</si>
  <si>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</si>
  <si>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</si>
  <si>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</si>
  <si>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</si>
  <si>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</si>
  <si>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</si>
  <si>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</si>
  <si>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</si>
  <si>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</si>
  <si>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</si>
  <si>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</si>
  <si>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</si>
  <si>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</si>
  <si>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</si>
  <si>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</si>
  <si>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</si>
  <si>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</si>
  <si>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</si>
  <si>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</si>
  <si>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</si>
  <si>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</si>
  <si>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</si>
  <si>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</si>
  <si>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</si>
  <si>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</si>
  <si>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</si>
  <si>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</si>
  <si>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</si>
  <si>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</si>
  <si>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</si>
  <si>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</si>
  <si>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</si>
  <si>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</si>
  <si>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</si>
  <si>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</si>
  <si>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</si>
  <si>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</si>
  <si>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</si>
  <si>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</si>
  <si>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</si>
  <si>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</si>
  <si>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</si>
  <si>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</si>
  <si>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</si>
  <si>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</si>
  <si>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</si>
  <si>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</si>
  <si>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</si>
  <si>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</si>
  <si>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</si>
  <si>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</si>
  <si>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</si>
  <si>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</si>
  <si>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</si>
  <si>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</si>
  <si>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</si>
  <si>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</si>
  <si>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</si>
  <si>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</si>
  <si>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</si>
  <si>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</si>
  <si>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</si>
  <si>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</si>
  <si>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</si>
  <si>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</si>
  <si>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</si>
  <si>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</si>
  <si>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</si>
  <si>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</si>
  <si>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</si>
  <si>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</si>
  <si>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</si>
  <si>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</si>
  <si>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</si>
  <si>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</si>
  <si>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</si>
  <si>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</si>
  <si>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</si>
  <si>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</si>
  <si>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</si>
  <si>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</si>
  <si>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</si>
  <si>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</si>
  <si>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</si>
  <si>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</si>
  <si>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</si>
  <si>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</si>
  <si>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</si>
  <si>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</si>
  <si>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</si>
  <si>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</si>
  <si>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</si>
  <si>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</si>
  <si>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</si>
  <si>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</si>
  <si>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</si>
  <si>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</si>
  <si>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</si>
  <si>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</si>
  <si>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</si>
  <si>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</si>
  <si>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</si>
  <si>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</si>
  <si>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</si>
  <si>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</si>
  <si>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</si>
  <si>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</si>
  <si>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</si>
  <si>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</si>
  <si>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</si>
  <si>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</si>
  <si>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</si>
  <si>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</si>
  <si>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</si>
  <si>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</si>
  <si>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</si>
  <si>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</si>
  <si>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</si>
  <si>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</si>
  <si>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</si>
  <si>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</si>
  <si>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</si>
  <si>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</si>
  <si>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</si>
  <si>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</si>
  <si>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</si>
  <si>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</si>
  <si>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</si>
  <si>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</si>
  <si>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</si>
  <si>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</si>
  <si>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</si>
  <si>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</si>
  <si>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</si>
  <si>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</si>
  <si>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</si>
  <si>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</si>
  <si>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</si>
  <si>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</si>
  <si>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</si>
  <si>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</si>
  <si>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</si>
  <si>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</si>
  <si>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</si>
  <si>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</si>
  <si>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</si>
  <si>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</si>
  <si>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</si>
  <si>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</si>
  <si>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</si>
  <si>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</si>
  <si>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</si>
  <si>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</si>
  <si>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</si>
  <si>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</si>
  <si>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</si>
  <si>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</si>
  <si>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</si>
  <si>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</si>
  <si>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</si>
  <si>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</si>
  <si>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</si>
  <si>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</si>
  <si>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</si>
  <si>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</si>
  <si>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</si>
  <si>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</si>
  <si>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</si>
  <si>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</si>
  <si>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</si>
  <si>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</si>
  <si>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</si>
  <si>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</si>
  <si>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</si>
  <si>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</si>
  <si>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</si>
  <si>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</si>
  <si>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</si>
  <si>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</si>
  <si>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</si>
  <si>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</si>
  <si>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</si>
  <si>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</si>
  <si>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</si>
  <si>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</si>
  <si>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</si>
  <si>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</si>
  <si>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</si>
  <si>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</si>
  <si>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</si>
  <si>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</si>
  <si>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</si>
  <si>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</si>
  <si>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</si>
  <si>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</si>
  <si>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</si>
  <si>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</si>
  <si>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</si>
  <si>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</si>
  <si>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</si>
  <si>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</si>
  <si>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</si>
  <si>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</si>
  <si>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</si>
  <si>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</si>
  <si>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</si>
  <si>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</si>
  <si>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</si>
  <si>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</si>
  <si>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</si>
  <si>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</si>
  <si>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</si>
  <si>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</si>
  <si>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</si>
  <si>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</si>
  <si>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</si>
  <si>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</si>
  <si>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</si>
  <si>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</si>
  <si>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</si>
  <si>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</si>
  <si>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</si>
  <si>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</si>
  <si>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</si>
  <si>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</si>
  <si>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</si>
  <si>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</si>
  <si>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</si>
  <si>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</si>
  <si>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</si>
  <si>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</si>
  <si>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</si>
  <si>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</si>
  <si>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</si>
  <si>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</si>
  <si>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</si>
  <si>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</si>
  <si>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</si>
  <si>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</si>
  <si>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</si>
  <si>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</si>
  <si>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</si>
  <si>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</si>
  <si>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</si>
  <si>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</si>
  <si>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</si>
  <si>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</si>
  <si>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</si>
  <si>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</si>
  <si>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</si>
  <si>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</si>
  <si>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</si>
  <si>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</si>
  <si>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</si>
  <si>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</si>
  <si>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</si>
  <si>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</si>
  <si>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</si>
  <si>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</si>
  <si>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</si>
  <si>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</si>
  <si>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</si>
  <si>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</si>
  <si>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</si>
  <si>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</si>
  <si>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</si>
  <si>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</si>
  <si>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</si>
  <si>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</si>
  <si>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</si>
  <si>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</si>
  <si>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</si>
  <si>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</si>
  <si>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</si>
  <si>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</si>
  <si>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</si>
  <si>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</si>
  <si>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</si>
  <si>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</si>
  <si>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</si>
  <si>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</si>
  <si>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</si>
  <si>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</si>
  <si>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</si>
  <si>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</si>
  <si>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</si>
  <si>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</si>
  <si>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</si>
  <si>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</si>
  <si>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</si>
  <si>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</si>
  <si>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</si>
  <si>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</si>
  <si>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</si>
  <si>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</si>
  <si>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</si>
  <si>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</si>
  <si>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</si>
  <si>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</si>
  <si>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</si>
  <si>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</si>
  <si>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</si>
  <si>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</si>
  <si>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</si>
  <si>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</si>
  <si>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</si>
  <si>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</si>
  <si>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</si>
  <si>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</si>
  <si>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</si>
  <si>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</si>
  <si>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</si>
  <si>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</si>
  <si>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</si>
  <si>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</si>
  <si>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</si>
  <si>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</si>
  <si>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</si>
  <si>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</si>
  <si>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</si>
  <si>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</si>
  <si>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</si>
  <si>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</si>
  <si>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</si>
  <si>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</si>
  <si>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</si>
  <si>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</si>
  <si>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</si>
  <si>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</si>
  <si>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</si>
  <si>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</si>
  <si>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</si>
  <si>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</si>
  <si>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</si>
  <si>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</si>
  <si>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</si>
  <si>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</si>
  <si>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</si>
  <si>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</si>
  <si>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</si>
  <si>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</si>
  <si>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</si>
  <si>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</si>
  <si>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</si>
  <si>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</si>
  <si>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</si>
  <si>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</si>
  <si>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</si>
  <si>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</si>
  <si>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</si>
  <si>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</si>
  <si>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</si>
  <si>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</si>
  <si>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</si>
  <si>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</si>
  <si>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</si>
  <si>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</si>
  <si>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</si>
  <si>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</si>
  <si>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</si>
  <si>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</si>
  <si>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</si>
  <si>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</si>
  <si>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</si>
  <si>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</si>
  <si>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</si>
  <si>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</si>
  <si>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</si>
  <si>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</si>
  <si>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</si>
  <si>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</si>
  <si>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</si>
  <si>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</si>
  <si>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</si>
  <si>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</si>
  <si>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</si>
  <si>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</si>
  <si>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</si>
  <si>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</si>
  <si>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</si>
  <si>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</si>
  <si>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</si>
  <si>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</si>
  <si>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</si>
  <si>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</si>
  <si>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</si>
  <si>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</si>
  <si>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</si>
  <si>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</si>
  <si>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</si>
  <si>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</si>
  <si>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</si>
  <si>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</si>
  <si>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</si>
  <si>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</si>
  <si>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</si>
  <si>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</si>
  <si>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</si>
  <si>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</si>
  <si>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</si>
  <si>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</si>
  <si>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</si>
  <si>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</si>
  <si>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</si>
  <si>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</si>
  <si>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</si>
  <si>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</si>
  <si>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</si>
  <si>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</si>
  <si>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</si>
  <si>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</si>
  <si>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</si>
  <si>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</si>
  <si>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</si>
  <si>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</si>
  <si>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</si>
  <si>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</si>
  <si>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</si>
  <si>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</si>
  <si>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возвращаться</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</si>
  <si>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</si>
  <si>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</si>
  <si>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</si>
  <si>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</si>
  <si>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</si>
  <si>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</si>
  <si>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</si>
  <si>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</si>
  <si>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</si>
  <si>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</si>
  <si>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</si>
  <si>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</si>
  <si>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</si>
  <si>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</si>
  <si>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40B-10deg</t>
  </si>
  <si>
    <t>40B-20deg</t>
  </si>
  <si>
    <t>40B-30deg</t>
  </si>
  <si>
    <t>40B-45deg</t>
  </si>
  <si>
    <t>RESULTS - 2</t>
  </si>
  <si>
    <t>RESULTS - 3</t>
  </si>
  <si>
    <t>RESULTS - 4</t>
  </si>
  <si>
    <t>RESULTS - 5</t>
  </si>
  <si>
    <t>L 1 - 1/6</t>
  </si>
  <si>
    <t>L 1 - 3/6</t>
  </si>
  <si>
    <t>L 1 - 5/6</t>
  </si>
  <si>
    <t>L 2 - 1/6</t>
  </si>
  <si>
    <t>L 2 - 3/6</t>
  </si>
  <si>
    <t>L 2 - 5/6</t>
  </si>
  <si>
    <t>L 3 - 1/6</t>
  </si>
  <si>
    <t>L 3 - 3/6</t>
  </si>
  <si>
    <t>L 3 - 5/6</t>
  </si>
  <si>
    <t>L 4 - 1/6</t>
  </si>
  <si>
    <t>L 4 - 3/6</t>
  </si>
  <si>
    <t>L 4 - 5/6</t>
  </si>
  <si>
    <t>R - 1/6</t>
  </si>
  <si>
    <t>R - 3/6</t>
  </si>
  <si>
    <t>R - 5/6</t>
  </si>
  <si>
    <t>-</t>
  </si>
  <si>
    <t>Start</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</si>
  <si>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</si>
  <si>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</si>
  <si>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</si>
  <si>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</si>
  <si>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</si>
  <si>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</si>
  <si>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</si>
  <si>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</si>
  <si>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</si>
  <si>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</si>
  <si>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1.7.8</t>
  </si>
  <si>
    <t>Assumptions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</si>
</sst>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4">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2" xfId="0"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0" fillId="4" borderId="56" xfId="0" applyFill="1" applyBorder="1" applyAlignment="1" applyProtection="1">
      <alignment horizontal="center"/>
    </xf>
    <xf numFmtId="0" fontId="0" fillId="4" borderId="23" xfId="0" applyFill="1" applyBorder="1" applyAlignment="1" applyProtection="1">
      <alignment horizontal="center"/>
    </xf>
    <xf numFmtId="0" fontId="0" fillId="4" borderId="57"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1" xfId="0" applyFill="1" applyBorder="1" applyAlignment="1" applyProtection="1">
      <alignment horizontal="center"/>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0" fillId="4" borderId="52" xfId="0" applyFill="1" applyBorder="1" applyAlignment="1" applyProtection="1">
      <alignment horizontal="center"/>
    </xf>
    <xf numFmtId="0" fontId="0" fillId="4" borderId="60"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22" fillId="4" borderId="60"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0" fillId="8" borderId="39"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8" borderId="37" xfId="0" applyFill="1" applyBorder="1" applyAlignment="1" applyProtection="1">
      <alignment horizontal="center"/>
      <protection locked="0"/>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0" fillId="4" borderId="21" xfId="0" applyFill="1" applyBorder="1" applyAlignment="1" applyProtection="1">
      <alignment horizontal="center"/>
    </xf>
    <xf numFmtId="0" fontId="0" fillId="4" borderId="51" xfId="0" applyFill="1" applyBorder="1" applyAlignment="1" applyProtection="1">
      <alignment horizontal="center"/>
    </xf>
    <xf numFmtId="0" fontId="0" fillId="4" borderId="53" xfId="0" applyFill="1" applyBorder="1" applyAlignment="1" applyProtection="1">
      <alignment horizontal="center"/>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0" fillId="4" borderId="63"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20">
    <dxf>
      <fill>
        <patternFill>
          <bgColor rgb="FFFF0000"/>
        </patternFill>
      </fill>
    </dxf>
    <dxf>
      <fill>
        <patternFill>
          <bgColor rgb="FFFF0000"/>
        </patternFill>
      </fill>
    </dxf>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470688152"/>
        <c:axId val="470687368"/>
      </c:scatterChart>
      <c:valAx>
        <c:axId val="470688152"/>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470687368"/>
        <c:crosses val="autoZero"/>
        <c:crossBetween val="midCat"/>
      </c:valAx>
      <c:valAx>
        <c:axId val="470687368"/>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470688152"/>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502528680"/>
        <c:axId val="502521232"/>
      </c:scatterChart>
      <c:valAx>
        <c:axId val="502528680"/>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02521232"/>
        <c:crosses val="autoZero"/>
        <c:crossBetween val="midCat"/>
      </c:valAx>
      <c:valAx>
        <c:axId val="502521232"/>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0252868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Luminance!$K$4:$K$13</c:f>
              <c:numCache>
                <c:formatCode>0.00</c:formatCode>
                <c:ptCount val="10"/>
                <c:pt idx="0">
                  <c:v>0.6</c:v>
                </c:pt>
                <c:pt idx="1">
                  <c:v>0.6</c:v>
                </c:pt>
                <c:pt idx="2">
                  <c:v>0.6</c:v>
                </c:pt>
                <c:pt idx="3">
                  <c:v>0.6</c:v>
                </c:pt>
                <c:pt idx="4">
                  <c:v>0.6</c:v>
                </c:pt>
                <c:pt idx="5">
                  <c:v>0.6</c:v>
                </c:pt>
              </c:numCache>
            </c:numRef>
          </c:val>
        </c:ser>
        <c:dLbls>
          <c:showLegendKey val="0"/>
          <c:showVal val="0"/>
          <c:showCatName val="0"/>
          <c:showSerName val="0"/>
          <c:showPercent val="0"/>
          <c:showBubbleSize val="0"/>
        </c:dLbls>
        <c:gapWidth val="73"/>
        <c:axId val="448192440"/>
        <c:axId val="448183032"/>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Luminance!$F$4:$F$13</c:f>
              <c:numCache>
                <c:formatCode>0.00</c:formatCode>
                <c:ptCount val="10"/>
                <c:pt idx="0">
                  <c:v>0.32741096559842942</c:v>
                </c:pt>
                <c:pt idx="1">
                  <c:v>1.0243804180818261</c:v>
                </c:pt>
                <c:pt idx="2">
                  <c:v>0.96318424721276996</c:v>
                </c:pt>
                <c:pt idx="3">
                  <c:v>0.83923708087311732</c:v>
                </c:pt>
                <c:pt idx="4">
                  <c:v>0.67300469032282573</c:v>
                </c:pt>
                <c:pt idx="5">
                  <c:v>0.44681078035770772</c:v>
                </c:pt>
              </c:numCache>
            </c:numRef>
          </c:val>
        </c:ser>
        <c:dLbls>
          <c:showLegendKey val="0"/>
          <c:showVal val="0"/>
          <c:showCatName val="0"/>
          <c:showSerName val="0"/>
          <c:showPercent val="0"/>
          <c:showBubbleSize val="0"/>
        </c:dLbls>
        <c:gapWidth val="211"/>
        <c:axId val="448183424"/>
        <c:axId val="448185776"/>
      </c:barChart>
      <c:catAx>
        <c:axId val="448192440"/>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48183032"/>
        <c:crosses val="autoZero"/>
        <c:auto val="1"/>
        <c:lblAlgn val="ctr"/>
        <c:lblOffset val="100"/>
        <c:noMultiLvlLbl val="0"/>
      </c:catAx>
      <c:valAx>
        <c:axId val="44818303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192440"/>
        <c:crosses val="autoZero"/>
        <c:crossBetween val="between"/>
      </c:valAx>
      <c:catAx>
        <c:axId val="448183424"/>
        <c:scaling>
          <c:orientation val="minMax"/>
        </c:scaling>
        <c:delete val="1"/>
        <c:axPos val="b"/>
        <c:numFmt formatCode="General" sourceLinked="1"/>
        <c:majorTickMark val="out"/>
        <c:minorTickMark val="none"/>
        <c:tickLblPos val="nextTo"/>
        <c:crossAx val="448185776"/>
        <c:crosses val="autoZero"/>
        <c:auto val="1"/>
        <c:lblAlgn val="ctr"/>
        <c:lblOffset val="100"/>
        <c:noMultiLvlLbl val="0"/>
      </c:catAx>
      <c:valAx>
        <c:axId val="448185776"/>
        <c:scaling>
          <c:orientation val="minMax"/>
        </c:scaling>
        <c:delete val="1"/>
        <c:axPos val="r"/>
        <c:numFmt formatCode="0.00" sourceLinked="1"/>
        <c:majorTickMark val="out"/>
        <c:minorTickMark val="none"/>
        <c:tickLblPos val="nextTo"/>
        <c:crossAx val="448183424"/>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39.5</c:v>
                </c:pt>
                <c:pt idx="2">
                  <c:v>78.63</c:v>
                </c:pt>
                <c:pt idx="3">
                  <c:v>117.37</c:v>
                </c:pt>
                <c:pt idx="4">
                  <c:v>155.72999999999999</c:v>
                </c:pt>
                <c:pt idx="5">
                  <c:v>193.73</c:v>
                </c:pt>
                <c:pt idx="6">
                  <c:v>231.35</c:v>
                </c:pt>
                <c:pt idx="7">
                  <c:v>268.61</c:v>
                </c:pt>
                <c:pt idx="8">
                  <c:v>305.5</c:v>
                </c:pt>
                <c:pt idx="9">
                  <c:v>342.04</c:v>
                </c:pt>
                <c:pt idx="10">
                  <c:v>378.23</c:v>
                </c:pt>
                <c:pt idx="11">
                  <c:v>414.06</c:v>
                </c:pt>
                <c:pt idx="12">
                  <c:v>449.54</c:v>
                </c:pt>
                <c:pt idx="13">
                  <c:v>484.68</c:v>
                </c:pt>
                <c:pt idx="14">
                  <c:v>519.48</c:v>
                </c:pt>
                <c:pt idx="15">
                  <c:v>553.94000000000005</c:v>
                </c:pt>
                <c:pt idx="16">
                  <c:v>588.07000000000005</c:v>
                </c:pt>
                <c:pt idx="17">
                  <c:v>621.87</c:v>
                </c:pt>
                <c:pt idx="18">
                  <c:v>655.33000000000004</c:v>
                </c:pt>
                <c:pt idx="19">
                  <c:v>688.48</c:v>
                </c:pt>
                <c:pt idx="20">
                  <c:v>721.3</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3"/>
          <c:order val="3"/>
          <c:tx>
            <c:strRef>
              <c:f>'Net Present Value'!$C$7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4"/>
          <c:order val="4"/>
          <c:tx>
            <c:strRef>
              <c:f>'Net Present Value'!$C$8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5"/>
          <c:order val="5"/>
          <c:tx>
            <c:strRef>
              <c:f>'Net Present Value'!$C$9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719970360"/>
        <c:axId val="719971144"/>
      </c:lineChart>
      <c:catAx>
        <c:axId val="71997036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1144"/>
        <c:crosses val="autoZero"/>
        <c:auto val="1"/>
        <c:lblAlgn val="ctr"/>
        <c:lblOffset val="100"/>
        <c:noMultiLvlLbl val="0"/>
      </c:catAx>
      <c:valAx>
        <c:axId val="719971144"/>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0360"/>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4.3250632009644985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91</c:v>
                </c:pt>
                <c:pt idx="2">
                  <c:v>91</c:v>
                </c:pt>
                <c:pt idx="3">
                  <c:v>91</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13.341418830469525</c:v>
                </c:pt>
                <c:pt idx="1">
                  <c:v>12.987963135087163</c:v>
                </c:pt>
                <c:pt idx="2">
                  <c:v>11.602414100488641</c:v>
                </c:pt>
                <c:pt idx="3">
                  <c:v>9.5155561831243993</c:v>
                </c:pt>
                <c:pt idx="4">
                  <c:v>6.9510983701499311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719982120"/>
        <c:axId val="719981728"/>
      </c:scatterChart>
      <c:valAx>
        <c:axId val="71998212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81728"/>
        <c:crosses val="autoZero"/>
        <c:crossBetween val="midCat"/>
      </c:valAx>
      <c:valAx>
        <c:axId val="719981728"/>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8212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0.32741096559842942</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91</c:v>
                </c:pt>
                <c:pt idx="2">
                  <c:v>91</c:v>
                </c:pt>
                <c:pt idx="3">
                  <c:v>91</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1.0243804180818261</c:v>
                </c:pt>
                <c:pt idx="1">
                  <c:v>0.96318424721276996</c:v>
                </c:pt>
                <c:pt idx="2">
                  <c:v>0.83923708087311732</c:v>
                </c:pt>
                <c:pt idx="3">
                  <c:v>0.67300469032282573</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0.44681078035770772</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719971536"/>
        <c:axId val="719978592"/>
      </c:scatterChart>
      <c:valAx>
        <c:axId val="71997153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8592"/>
        <c:crosses val="autoZero"/>
        <c:crossBetween val="midCat"/>
      </c:valAx>
      <c:valAx>
        <c:axId val="71997859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153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Illuminance!$I$4:$I$13</c:f>
              <c:numCache>
                <c:formatCode>0.00</c:formatCode>
                <c:ptCount val="10"/>
                <c:pt idx="0">
                  <c:v>0.65512624947777776</c:v>
                </c:pt>
                <c:pt idx="1">
                  <c:v>0.61112798836552851</c:v>
                </c:pt>
                <c:pt idx="2">
                  <c:v>0.60435564425960364</c:v>
                </c:pt>
                <c:pt idx="3">
                  <c:v>0.57689206002610249</c:v>
                </c:pt>
                <c:pt idx="4">
                  <c:v>0.50472521488830113</c:v>
                </c:pt>
                <c:pt idx="5">
                  <c:v>0.509526480134048</c:v>
                </c:pt>
              </c:numCache>
            </c:numRef>
          </c:val>
        </c:ser>
        <c:dLbls>
          <c:showLegendKey val="0"/>
          <c:showVal val="0"/>
          <c:showCatName val="0"/>
          <c:showSerName val="0"/>
          <c:showPercent val="0"/>
          <c:showBubbleSize val="0"/>
        </c:dLbls>
        <c:gapWidth val="150"/>
        <c:axId val="719972320"/>
        <c:axId val="719973104"/>
      </c:barChart>
      <c:catAx>
        <c:axId val="719972320"/>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719973104"/>
        <c:crosses val="autoZero"/>
        <c:auto val="1"/>
        <c:lblAlgn val="ctr"/>
        <c:lblOffset val="100"/>
        <c:noMultiLvlLbl val="0"/>
      </c:catAx>
      <c:valAx>
        <c:axId val="719973104"/>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2320"/>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Luminance!$I$4:$I$13</c:f>
              <c:numCache>
                <c:formatCode>0.00</c:formatCode>
                <c:ptCount val="10"/>
                <c:pt idx="0">
                  <c:v>0.54170697621989183</c:v>
                </c:pt>
                <c:pt idx="1">
                  <c:v>0.54794008459543142</c:v>
                </c:pt>
                <c:pt idx="2">
                  <c:v>0.55699628420863168</c:v>
                </c:pt>
                <c:pt idx="3">
                  <c:v>0.4670682432587086</c:v>
                </c:pt>
                <c:pt idx="4">
                  <c:v>0.40500753078768897</c:v>
                </c:pt>
                <c:pt idx="5">
                  <c:v>0.4462326269142734</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Luminance!$J$4:$J$13</c:f>
              <c:numCache>
                <c:formatCode>0.00</c:formatCode>
                <c:ptCount val="10"/>
                <c:pt idx="0">
                  <c:v>0.70764352208218684</c:v>
                </c:pt>
                <c:pt idx="1">
                  <c:v>0.8484322542576278</c:v>
                </c:pt>
                <c:pt idx="2">
                  <c:v>0.88657757557143346</c:v>
                </c:pt>
                <c:pt idx="3">
                  <c:v>0.91408539817118784</c:v>
                </c:pt>
                <c:pt idx="4">
                  <c:v>0.8256714424415581</c:v>
                </c:pt>
                <c:pt idx="5">
                  <c:v>0.81836447421022107</c:v>
                </c:pt>
              </c:numCache>
            </c:numRef>
          </c:val>
        </c:ser>
        <c:dLbls>
          <c:showLegendKey val="0"/>
          <c:showVal val="0"/>
          <c:showCatName val="0"/>
          <c:showSerName val="0"/>
          <c:showPercent val="0"/>
          <c:showBubbleSize val="0"/>
        </c:dLbls>
        <c:gapWidth val="150"/>
        <c:axId val="719973888"/>
        <c:axId val="719975456"/>
      </c:barChart>
      <c:catAx>
        <c:axId val="719973888"/>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719975456"/>
        <c:crosses val="autoZero"/>
        <c:auto val="1"/>
        <c:lblAlgn val="ctr"/>
        <c:lblOffset val="100"/>
        <c:noMultiLvlLbl val="0"/>
      </c:catAx>
      <c:valAx>
        <c:axId val="719975456"/>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3888"/>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Illuminance!$J$4:$J$13</c:f>
              <c:numCache>
                <c:formatCode>0.00</c:formatCode>
                <c:ptCount val="10"/>
                <c:pt idx="0">
                  <c:v>6</c:v>
                </c:pt>
                <c:pt idx="1">
                  <c:v>6</c:v>
                </c:pt>
                <c:pt idx="2">
                  <c:v>6</c:v>
                </c:pt>
                <c:pt idx="3">
                  <c:v>6</c:v>
                </c:pt>
                <c:pt idx="4">
                  <c:v>6</c:v>
                </c:pt>
                <c:pt idx="5">
                  <c:v>6</c:v>
                </c:pt>
              </c:numCache>
            </c:numRef>
          </c:val>
        </c:ser>
        <c:dLbls>
          <c:showLegendKey val="0"/>
          <c:showVal val="0"/>
          <c:showCatName val="0"/>
          <c:showSerName val="0"/>
          <c:showPercent val="0"/>
          <c:showBubbleSize val="0"/>
        </c:dLbls>
        <c:gapWidth val="73"/>
        <c:axId val="719974672"/>
        <c:axId val="719976240"/>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Illuminance!$F$4:$F$13</c:f>
              <c:numCache>
                <c:formatCode>0.00</c:formatCode>
                <c:ptCount val="10"/>
                <c:pt idx="0">
                  <c:v>4.3250632009644985</c:v>
                </c:pt>
                <c:pt idx="1">
                  <c:v>13.341418830469525</c:v>
                </c:pt>
                <c:pt idx="2">
                  <c:v>12.987963135087163</c:v>
                </c:pt>
                <c:pt idx="3">
                  <c:v>11.602414100488641</c:v>
                </c:pt>
                <c:pt idx="4">
                  <c:v>9.5155561831243993</c:v>
                </c:pt>
                <c:pt idx="5">
                  <c:v>6.9510983701499311</c:v>
                </c:pt>
              </c:numCache>
            </c:numRef>
          </c:val>
        </c:ser>
        <c:dLbls>
          <c:showLegendKey val="0"/>
          <c:showVal val="0"/>
          <c:showCatName val="0"/>
          <c:showSerName val="0"/>
          <c:showPercent val="0"/>
          <c:showBubbleSize val="0"/>
        </c:dLbls>
        <c:gapWidth val="208"/>
        <c:axId val="719978200"/>
        <c:axId val="719978984"/>
      </c:barChart>
      <c:catAx>
        <c:axId val="719974672"/>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719976240"/>
        <c:crosses val="autoZero"/>
        <c:auto val="0"/>
        <c:lblAlgn val="ctr"/>
        <c:lblOffset val="100"/>
        <c:noMultiLvlLbl val="0"/>
      </c:catAx>
      <c:valAx>
        <c:axId val="719976240"/>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74672"/>
        <c:crosses val="autoZero"/>
        <c:crossBetween val="between"/>
      </c:valAx>
      <c:catAx>
        <c:axId val="719978200"/>
        <c:scaling>
          <c:orientation val="minMax"/>
        </c:scaling>
        <c:delete val="1"/>
        <c:axPos val="b"/>
        <c:numFmt formatCode="General" sourceLinked="1"/>
        <c:majorTickMark val="out"/>
        <c:minorTickMark val="none"/>
        <c:tickLblPos val="nextTo"/>
        <c:crossAx val="719978984"/>
        <c:crosses val="autoZero"/>
        <c:auto val="1"/>
        <c:lblAlgn val="ctr"/>
        <c:lblOffset val="100"/>
        <c:noMultiLvlLbl val="0"/>
      </c:catAx>
      <c:valAx>
        <c:axId val="719978984"/>
        <c:scaling>
          <c:orientation val="minMax"/>
        </c:scaling>
        <c:delete val="1"/>
        <c:axPos val="r"/>
        <c:numFmt formatCode="0.00" sourceLinked="1"/>
        <c:majorTickMark val="out"/>
        <c:minorTickMark val="none"/>
        <c:tickLblPos val="nextTo"/>
        <c:crossAx val="719978200"/>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4"/>
          <c:tx>
            <c:strRef>
              <c:f>ROI!$C$9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719982904"/>
        <c:axId val="719983688"/>
      </c:lineChart>
      <c:catAx>
        <c:axId val="7199829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83688"/>
        <c:crosses val="autoZero"/>
        <c:auto val="1"/>
        <c:lblAlgn val="ctr"/>
        <c:lblOffset val="100"/>
        <c:noMultiLvlLbl val="0"/>
      </c:catAx>
      <c:valAx>
        <c:axId val="719983688"/>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719982904"/>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2" val="0"/>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5" t="s">
        <v>362</v>
      </c>
      <c r="C5" s="716"/>
      <c r="D5" s="717"/>
      <c r="E5" s="718" t="s">
        <v>343</v>
      </c>
      <c r="F5" s="719"/>
      <c r="G5" s="720"/>
    </row>
    <row r="8" spans="1:18">
      <c r="B8" s="721" t="str">
        <f>Translation!B285</f>
        <v>SEAD Procurement Tool for Energy Efficient Street Lighting</v>
      </c>
      <c r="C8" s="722"/>
      <c r="D8" s="722"/>
      <c r="E8" s="722"/>
      <c r="F8" s="722"/>
      <c r="G8" s="722"/>
      <c r="H8" s="722"/>
      <c r="I8" s="722"/>
      <c r="J8" s="722"/>
      <c r="K8" s="722"/>
      <c r="L8" s="722"/>
      <c r="M8" s="722"/>
      <c r="N8" s="723"/>
    </row>
    <row r="9" spans="1:18" ht="72.75" customHeight="1">
      <c r="B9" s="724"/>
      <c r="C9" s="725"/>
      <c r="D9" s="725"/>
      <c r="E9" s="725"/>
      <c r="F9" s="725"/>
      <c r="G9" s="725"/>
      <c r="H9" s="725"/>
      <c r="I9" s="725"/>
      <c r="J9" s="725"/>
      <c r="K9" s="725"/>
      <c r="L9" s="725"/>
      <c r="M9" s="725"/>
      <c r="N9" s="726"/>
      <c r="R9" s="129" t="s">
        <v>1046</v>
      </c>
    </row>
    <row r="10" spans="1:18" ht="35.25" hidden="1" customHeight="1">
      <c r="B10" s="724" t="str">
        <f>Translation!B286</f>
        <v>Before you get started, please take some time to read the instructions located on the navigation worksheet .</v>
      </c>
      <c r="C10" s="725"/>
      <c r="D10" s="725"/>
      <c r="E10" s="725"/>
      <c r="F10" s="725"/>
      <c r="G10" s="725"/>
      <c r="H10" s="725"/>
      <c r="I10" s="725"/>
      <c r="J10" s="725"/>
      <c r="K10" s="725"/>
      <c r="L10" s="725"/>
      <c r="M10" s="725"/>
      <c r="N10" s="726"/>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2" t="str">
        <f>Translation!B315</f>
        <v>This tool and accompanying street lighting technology profile are available at www.superefficient.org</v>
      </c>
      <c r="C26" s="713"/>
      <c r="D26" s="713"/>
      <c r="E26" s="713"/>
      <c r="F26" s="713"/>
      <c r="G26" s="713"/>
      <c r="H26" s="713"/>
      <c r="I26" s="713"/>
      <c r="J26" s="713"/>
      <c r="K26" s="713"/>
      <c r="L26" s="713"/>
      <c r="M26" s="713"/>
      <c r="N26" s="714"/>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29"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29"/>
      <c r="F8" s="729"/>
      <c r="G8" s="729"/>
      <c r="H8" s="729"/>
      <c r="I8" s="729"/>
      <c r="J8" s="729"/>
      <c r="K8" s="729"/>
      <c r="L8" s="729"/>
      <c r="M8" s="729"/>
      <c r="N8" s="729"/>
      <c r="O8" s="729"/>
    </row>
    <row r="9" spans="2:24" ht="36.75" customHeight="1">
      <c r="E9" s="732" t="str">
        <f>Translation!B31</f>
        <v>- The tool is designed to be simple to use, requiring little prior knowledge. Follow the steps, and look out for popup boxes and "?" links for additional information</v>
      </c>
      <c r="F9" s="732"/>
      <c r="G9" s="732"/>
      <c r="H9" s="732"/>
      <c r="I9" s="732"/>
      <c r="J9" s="732"/>
      <c r="K9" s="732"/>
      <c r="L9" s="732"/>
      <c r="M9" s="732"/>
      <c r="N9" s="732"/>
      <c r="O9" s="732"/>
    </row>
    <row r="10" spans="2:24" ht="57" customHeight="1">
      <c r="E10" s="732"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2"/>
      <c r="G10" s="732"/>
      <c r="H10" s="732"/>
      <c r="I10" s="732"/>
      <c r="J10" s="732"/>
      <c r="K10" s="732"/>
      <c r="L10" s="732"/>
      <c r="M10" s="732"/>
      <c r="N10" s="732"/>
      <c r="O10" s="732"/>
    </row>
    <row r="11" spans="2:24" ht="94.5" customHeight="1">
      <c r="E11" s="732"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2"/>
      <c r="G11" s="732"/>
      <c r="H11" s="732"/>
      <c r="I11" s="732"/>
      <c r="J11" s="732"/>
      <c r="K11" s="732"/>
      <c r="L11" s="732"/>
      <c r="M11" s="732"/>
      <c r="N11" s="732"/>
      <c r="O11" s="732"/>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29" t="str">
        <f>Translation!B72</f>
        <v>The inputs tab gives you access to all required inputs, as well as navigation to all the other tabs relevant to the user. Start here, and if you get lost come back here and find the appropriate step.</v>
      </c>
      <c r="E18" s="729"/>
      <c r="F18" s="729"/>
      <c r="G18" s="729"/>
      <c r="H18" s="729"/>
      <c r="I18" s="729"/>
      <c r="J18" s="729"/>
      <c r="K18" s="729"/>
      <c r="L18" s="729"/>
      <c r="M18" s="729"/>
      <c r="N18" s="729"/>
      <c r="O18" s="729"/>
    </row>
    <row r="19" spans="4:15">
      <c r="D19" s="74" t="str">
        <f>Translation!B48</f>
        <v xml:space="preserve">For a description of the other tabs and what they contain go here: </v>
      </c>
    </row>
    <row r="20" spans="4:15">
      <c r="D20" s="74"/>
    </row>
    <row r="21" spans="4:15">
      <c r="D21" s="730" t="str">
        <f>Translation!B70</f>
        <v>Tab Descriptions</v>
      </c>
      <c r="E21" s="731"/>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3" t="str">
        <f>Translation!B28</f>
        <v>Single Fixture</v>
      </c>
      <c r="E34" s="734"/>
    </row>
    <row r="35" spans="3:22" ht="15" customHeight="1">
      <c r="D35" s="733" t="str">
        <f>Translation!B61</f>
        <v>Retrofit - basic</v>
      </c>
      <c r="E35" s="734"/>
    </row>
    <row r="36" spans="3:22" ht="15" customHeight="1">
      <c r="D36" s="733" t="str">
        <f>Translation!B63</f>
        <v>Retrofit - detailed</v>
      </c>
      <c r="E36" s="734"/>
    </row>
    <row r="37" spans="3:22" ht="15" customHeight="1">
      <c r="D37" s="733" t="str">
        <f>Translation!B57</f>
        <v>New installation</v>
      </c>
      <c r="E37" s="734"/>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8" t="str">
        <f>Translation!B59</f>
        <v>Not all tabs are needed by the user, but all tabs are left open so that you can see how calculations are performed if needed. Here's a description of all the tabs in the tool:</v>
      </c>
      <c r="D55" s="728"/>
      <c r="E55" s="728"/>
      <c r="F55" s="728"/>
      <c r="G55" s="728"/>
      <c r="H55" s="728"/>
      <c r="I55" s="728"/>
      <c r="J55" s="728"/>
      <c r="K55" s="728"/>
      <c r="L55" s="728"/>
      <c r="M55" s="728"/>
      <c r="N55" s="728"/>
      <c r="O55" s="728"/>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7"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7"/>
      <c r="E73" s="727"/>
      <c r="F73" s="727"/>
      <c r="G73" s="727"/>
      <c r="H73" s="727"/>
      <c r="I73" s="727"/>
      <c r="J73" s="727"/>
      <c r="K73" s="727"/>
      <c r="L73" s="727"/>
      <c r="M73" s="727"/>
      <c r="N73" s="727"/>
      <c r="O73" s="727"/>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7"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7"/>
      <c r="E77" s="727"/>
      <c r="F77" s="727"/>
      <c r="G77" s="727"/>
      <c r="H77" s="727"/>
      <c r="I77" s="727"/>
      <c r="J77" s="727"/>
      <c r="K77" s="727"/>
      <c r="L77" s="727"/>
      <c r="M77" s="727"/>
      <c r="N77" s="727"/>
      <c r="O77" s="727"/>
    </row>
    <row r="78" spans="3:22" ht="15" customHeight="1">
      <c r="C78" s="96" t="s">
        <v>224</v>
      </c>
      <c r="D78" s="727" t="str">
        <f>Translation!B45</f>
        <v xml:space="preserve">Follow steps 1-5 on the inputs page to define your current configuration, desired target light levels, and relevant costs </v>
      </c>
      <c r="E78" s="727"/>
      <c r="F78" s="727"/>
      <c r="G78" s="727"/>
      <c r="H78" s="727"/>
      <c r="I78" s="727"/>
      <c r="J78" s="727"/>
      <c r="K78" s="727"/>
      <c r="L78" s="727"/>
      <c r="M78" s="727"/>
      <c r="N78" s="727"/>
      <c r="O78" s="727"/>
    </row>
    <row r="79" spans="3:22" ht="15" customHeight="1">
      <c r="C79" s="96" t="s">
        <v>225</v>
      </c>
      <c r="D79" s="727" t="str">
        <f>Translation!B81</f>
        <v xml:space="preserve">When choosing the upgrade fixture in Step 3, choose 'Multiple Fixtures' option and select some or all of the generic typical fixtures </v>
      </c>
      <c r="E79" s="727"/>
      <c r="F79" s="727"/>
      <c r="G79" s="727"/>
      <c r="H79" s="727"/>
      <c r="I79" s="727"/>
      <c r="J79" s="727"/>
      <c r="K79" s="727"/>
      <c r="L79" s="727"/>
      <c r="M79" s="727"/>
      <c r="N79" s="727"/>
      <c r="O79" s="727"/>
    </row>
    <row r="80" spans="3:22" ht="15" customHeight="1">
      <c r="C80" s="96" t="s">
        <v>226</v>
      </c>
      <c r="D80" s="727" t="str">
        <f>Translation!B73</f>
        <v xml:space="preserve">The MGraphs page will show you which fixtures pass and fail your illuminance criteria for the given road geometry, ranked in order of lowest to highest energy consumption. </v>
      </c>
      <c r="E80" s="727"/>
      <c r="F80" s="727"/>
      <c r="G80" s="727"/>
      <c r="H80" s="727"/>
      <c r="I80" s="727"/>
      <c r="J80" s="727"/>
      <c r="K80" s="727"/>
      <c r="L80" s="727"/>
      <c r="M80" s="727"/>
      <c r="N80" s="727"/>
      <c r="O80" s="727"/>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7"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7"/>
      <c r="E86" s="727"/>
      <c r="F86" s="727"/>
      <c r="G86" s="727"/>
      <c r="H86" s="727"/>
      <c r="I86" s="727"/>
      <c r="J86" s="727"/>
      <c r="K86" s="727"/>
      <c r="L86" s="727"/>
      <c r="M86" s="727"/>
      <c r="N86" s="727"/>
      <c r="O86" s="727"/>
      <c r="P86" s="96"/>
      <c r="Q86" s="96"/>
      <c r="R86" s="96"/>
      <c r="S86" s="96"/>
      <c r="T86" s="96"/>
      <c r="U86" s="96"/>
      <c r="V86" s="96"/>
    </row>
    <row r="87" spans="3:22" ht="15" customHeight="1">
      <c r="C87" s="96" t="s">
        <v>224</v>
      </c>
      <c r="D87" s="727" t="str">
        <f>Translation!B41</f>
        <v xml:space="preserve">Contact the manufacturer or visit their website to download the electronic IES files for the fixtures you're considering </v>
      </c>
      <c r="E87" s="727"/>
      <c r="F87" s="727"/>
      <c r="G87" s="727"/>
      <c r="H87" s="727"/>
      <c r="I87" s="727"/>
      <c r="J87" s="727"/>
      <c r="K87" s="727"/>
      <c r="L87" s="727"/>
      <c r="M87" s="727"/>
      <c r="N87" s="727"/>
      <c r="O87" s="727"/>
      <c r="P87" s="96"/>
      <c r="Q87" s="96"/>
      <c r="R87" s="96"/>
      <c r="S87" s="96"/>
      <c r="T87" s="96"/>
      <c r="U87" s="96"/>
      <c r="V87" s="96"/>
    </row>
    <row r="88" spans="3:22" ht="15" customHeight="1">
      <c r="C88" s="96" t="s">
        <v>225</v>
      </c>
      <c r="D88" s="727" t="str">
        <f>Translation!B79</f>
        <v xml:space="preserve">Use the Add IES file button in step 3 to add this data to the tool. Be sure to check default values for fixture life, cost, and lumen depreciation in the Fixtures tab and make sure they are appropriate for your fixture </v>
      </c>
      <c r="E88" s="727"/>
      <c r="F88" s="727"/>
      <c r="G88" s="727"/>
      <c r="H88" s="727"/>
      <c r="I88" s="727"/>
      <c r="J88" s="727"/>
      <c r="K88" s="727"/>
      <c r="L88" s="727"/>
      <c r="M88" s="727"/>
      <c r="N88" s="727"/>
      <c r="O88" s="727"/>
    </row>
    <row r="89" spans="3:22" ht="15" customHeight="1">
      <c r="C89" s="96" t="s">
        <v>226</v>
      </c>
      <c r="D89" s="727" t="str">
        <f>Translation!B46</f>
        <v xml:space="preserve">Follow steps 1-5 to define your road configuration, desired target light levels, and relavant costs </v>
      </c>
      <c r="E89" s="727"/>
      <c r="F89" s="727"/>
      <c r="G89" s="727"/>
      <c r="H89" s="727"/>
      <c r="I89" s="727"/>
      <c r="J89" s="727"/>
      <c r="K89" s="727"/>
      <c r="L89" s="727"/>
      <c r="M89" s="727"/>
      <c r="N89" s="727"/>
      <c r="O89" s="727"/>
    </row>
    <row r="90" spans="3:22" ht="32.25" customHeight="1">
      <c r="C90" s="96" t="s">
        <v>227</v>
      </c>
      <c r="D90" s="727" t="str">
        <f>Translation!B81</f>
        <v xml:space="preserve">When choosing the upgrade fixture in Step 3, choose 'Multiple Fixtures' option and select some or all of the generic typical fixtures </v>
      </c>
      <c r="E90" s="727"/>
      <c r="F90" s="727"/>
      <c r="G90" s="727"/>
      <c r="H90" s="727"/>
      <c r="I90" s="727"/>
      <c r="J90" s="727"/>
      <c r="K90" s="727"/>
      <c r="L90" s="727"/>
      <c r="M90" s="727"/>
      <c r="N90" s="727"/>
      <c r="O90" s="727"/>
    </row>
    <row r="91" spans="3:22" ht="15" customHeight="1">
      <c r="C91" s="96" t="s">
        <v>228</v>
      </c>
      <c r="D91" s="727" t="str">
        <f>Translation!B73</f>
        <v xml:space="preserve">The MGraphs page will show you which fixtures pass and fail your illuminance criteria for the given road geometry, ranked in order of lowest to highest energy consumption. </v>
      </c>
      <c r="E91" s="727"/>
      <c r="F91" s="727"/>
      <c r="G91" s="727"/>
      <c r="H91" s="727"/>
      <c r="I91" s="727"/>
      <c r="J91" s="727"/>
      <c r="K91" s="727"/>
      <c r="L91" s="727"/>
      <c r="M91" s="727"/>
      <c r="N91" s="727"/>
      <c r="O91" s="727"/>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7"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7"/>
      <c r="E96" s="727"/>
      <c r="F96" s="727"/>
      <c r="G96" s="727"/>
      <c r="H96" s="727"/>
      <c r="I96" s="727"/>
      <c r="J96" s="727"/>
      <c r="K96" s="727"/>
      <c r="L96" s="727"/>
      <c r="M96" s="727"/>
      <c r="N96" s="727"/>
      <c r="O96" s="727"/>
    </row>
    <row r="97" spans="3:15" ht="15" customHeight="1">
      <c r="C97" s="96" t="s">
        <v>224</v>
      </c>
      <c r="D97" s="727" t="str">
        <f>Translation!B47</f>
        <v xml:space="preserve">Follow steps 1-5, choosing the appropriate comparison type of single fixture or multiple fixtures in step 3 </v>
      </c>
      <c r="E97" s="727"/>
      <c r="F97" s="727"/>
      <c r="G97" s="727"/>
      <c r="H97" s="727"/>
      <c r="I97" s="727"/>
      <c r="J97" s="727"/>
      <c r="K97" s="727"/>
      <c r="L97" s="727"/>
      <c r="M97" s="727"/>
      <c r="N97" s="727"/>
      <c r="O97" s="727"/>
    </row>
    <row r="98" spans="3:15" ht="15" customHeight="1">
      <c r="C98" s="96" t="s">
        <v>225</v>
      </c>
      <c r="D98" s="727" t="str">
        <f>Translation!B71</f>
        <v xml:space="preserve">The 'baseline' scenario can be ignored, or you can use the 'No fixture' fixture choice to set energy consumption of the baseline shown in the graphs to zero </v>
      </c>
      <c r="E98" s="727"/>
      <c r="F98" s="727"/>
      <c r="G98" s="727"/>
      <c r="H98" s="727"/>
      <c r="I98" s="727"/>
      <c r="J98" s="727"/>
      <c r="K98" s="727"/>
      <c r="L98" s="727"/>
      <c r="M98" s="727"/>
      <c r="N98" s="727"/>
      <c r="O98" s="727"/>
    </row>
    <row r="99" spans="3:15" ht="15" customHeight="1">
      <c r="C99" s="96" t="s">
        <v>226</v>
      </c>
      <c r="D99" s="727" t="str">
        <f>Translation!B50</f>
        <v xml:space="preserve">If only analyzing a single fixture, use the "Save Single Upgrade" button to save the scenario to the MResults tab. If analyzing multiple fixtures, the fixtures will be saved when you click 'Run Selected Fixtures' </v>
      </c>
      <c r="E99" s="727"/>
      <c r="F99" s="727"/>
      <c r="G99" s="727"/>
      <c r="H99" s="727"/>
      <c r="I99" s="727"/>
      <c r="J99" s="727"/>
      <c r="K99" s="727"/>
      <c r="L99" s="727"/>
      <c r="M99" s="727"/>
      <c r="N99" s="727"/>
      <c r="O99" s="727"/>
    </row>
    <row r="100" spans="3:15" ht="15" customHeight="1">
      <c r="C100" s="96" t="s">
        <v>227</v>
      </c>
      <c r="D100" s="727" t="str">
        <f>Translation!B76</f>
        <v xml:space="preserve">To compare additional scenarios , after saving the results you may change the inputs for the other steps and save the new results </v>
      </c>
      <c r="E100" s="727"/>
      <c r="F100" s="727"/>
      <c r="G100" s="727"/>
      <c r="H100" s="727"/>
      <c r="I100" s="727"/>
      <c r="J100" s="727"/>
      <c r="K100" s="727"/>
      <c r="L100" s="727"/>
      <c r="M100" s="727"/>
      <c r="N100" s="727"/>
      <c r="O100" s="727"/>
    </row>
    <row r="101" spans="3:15" ht="15" customHeight="1">
      <c r="C101" s="96" t="s">
        <v>228</v>
      </c>
      <c r="D101" s="727" t="str">
        <f>Translation!B37</f>
        <v xml:space="preserve">All results will be archived to the MResults tab, and show up in MGraphs.  </v>
      </c>
      <c r="E101" s="727"/>
      <c r="F101" s="727"/>
      <c r="G101" s="727"/>
      <c r="H101" s="727"/>
      <c r="I101" s="727"/>
      <c r="J101" s="727"/>
      <c r="K101" s="727"/>
      <c r="L101" s="727"/>
      <c r="M101" s="727"/>
      <c r="N101" s="727"/>
      <c r="O101" s="727"/>
    </row>
    <row r="102" spans="3:15" ht="15" customHeight="1">
      <c r="C102" s="96" t="s">
        <v>229</v>
      </c>
      <c r="D102" s="727"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7"/>
      <c r="F102" s="727"/>
      <c r="G102" s="727"/>
      <c r="H102" s="727"/>
      <c r="I102" s="727"/>
      <c r="J102" s="727"/>
      <c r="K102" s="727"/>
      <c r="L102" s="727"/>
      <c r="M102" s="727"/>
      <c r="N102" s="727"/>
      <c r="O102" s="727"/>
    </row>
  </sheetData>
  <mergeCells count="29">
    <mergeCell ref="C73:O73"/>
    <mergeCell ref="C77:O77"/>
    <mergeCell ref="D99:O99"/>
    <mergeCell ref="D97:O97"/>
    <mergeCell ref="C96:O96"/>
    <mergeCell ref="D91:O91"/>
    <mergeCell ref="C55:O55"/>
    <mergeCell ref="D18:O18"/>
    <mergeCell ref="D21:E21"/>
    <mergeCell ref="D8:O8"/>
    <mergeCell ref="E9:O9"/>
    <mergeCell ref="E10:O10"/>
    <mergeCell ref="E11:O11"/>
    <mergeCell ref="D37:E37"/>
    <mergeCell ref="D36:E36"/>
    <mergeCell ref="D35:E35"/>
    <mergeCell ref="D34:E34"/>
    <mergeCell ref="D102:O102"/>
    <mergeCell ref="D78:O78"/>
    <mergeCell ref="D79:O79"/>
    <mergeCell ref="D80:O80"/>
    <mergeCell ref="D87:O87"/>
    <mergeCell ref="D88:O88"/>
    <mergeCell ref="D89:O89"/>
    <mergeCell ref="D90:O90"/>
    <mergeCell ref="D98:O98"/>
    <mergeCell ref="D101:O101"/>
    <mergeCell ref="C86:O86"/>
    <mergeCell ref="D100:O10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C16" sqref="C16"/>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5" t="str">
        <f>Translation!B559</f>
        <v>Road geometry inputs describe the size and shape of the road section, as well as the placement and size of poles. Enter values for both baseline and upgrade. If you are replacing fixtures only, enter the same values in both columns.</v>
      </c>
      <c r="C5" s="735"/>
      <c r="D5" s="735"/>
      <c r="E5" s="735"/>
      <c r="F5" s="735"/>
      <c r="G5" s="225"/>
      <c r="H5" s="225"/>
      <c r="I5" s="225"/>
      <c r="J5" s="225"/>
      <c r="K5" s="225"/>
      <c r="L5" s="225"/>
      <c r="M5" s="225"/>
      <c r="N5" s="349"/>
      <c r="O5" s="349"/>
      <c r="P5" s="349"/>
      <c r="Q5" s="349"/>
      <c r="R5" s="349"/>
      <c r="S5" s="349"/>
      <c r="T5" s="349"/>
      <c r="U5" s="349"/>
      <c r="V5" s="349"/>
    </row>
    <row r="6" spans="1:28" ht="18.75" customHeight="1">
      <c r="A6" s="225"/>
      <c r="B6" s="735"/>
      <c r="C6" s="735"/>
      <c r="D6" s="735"/>
      <c r="E6" s="735"/>
      <c r="F6" s="735"/>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5"/>
      <c r="S9" s="735"/>
      <c r="T9" s="735"/>
      <c r="U9" s="735"/>
      <c r="V9" s="735"/>
      <c r="W9" t="s">
        <v>1779</v>
      </c>
    </row>
    <row r="10" spans="1:28">
      <c r="A10" s="225"/>
      <c r="B10" s="168" t="str">
        <f>Translation!B114</f>
        <v>Number of Lanes</v>
      </c>
      <c r="C10" s="36"/>
      <c r="D10" s="36"/>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c r="D16" s="378"/>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f>$C$16</f>
        <v>0</v>
      </c>
      <c r="AB16" s="168">
        <f>$D$16</f>
        <v>0</v>
      </c>
    </row>
    <row r="17" spans="1:28">
      <c r="A17" s="225"/>
      <c r="B17" s="168" t="str">
        <f>Translation!B131</f>
        <v>Luminaire Mounting Height</v>
      </c>
      <c r="C17" s="36"/>
      <c r="D17" s="36"/>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19" priority="4" stopIfTrue="1">
      <formula>"&gt;5"</formula>
    </cfRule>
  </conditionalFormatting>
  <conditionalFormatting sqref="C50:C51">
    <cfRule type="expression" dxfId="18"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B4" sqref="B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5"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5"/>
      <c r="E5" s="735"/>
      <c r="F5" s="735"/>
      <c r="G5" s="735"/>
      <c r="H5" s="735"/>
      <c r="N5" s="349"/>
      <c r="AA5" s="225" t="s">
        <v>1731</v>
      </c>
    </row>
    <row r="6" spans="1:27" s="225" customFormat="1" ht="90.75" customHeight="1">
      <c r="C6" s="735"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5"/>
      <c r="E6" s="735"/>
      <c r="F6" s="735"/>
      <c r="G6" s="735"/>
      <c r="H6" s="735"/>
      <c r="L6" s="650"/>
      <c r="N6" s="736"/>
      <c r="O6" s="736"/>
      <c r="P6" s="736"/>
      <c r="Q6" s="736"/>
      <c r="AA6" s="225" t="s">
        <v>1726</v>
      </c>
    </row>
    <row r="7" spans="1:27" s="225" customFormat="1" ht="54" customHeight="1">
      <c r="A7" s="225" t="s">
        <v>187</v>
      </c>
      <c r="C7" s="540" t="str">
        <f>Translation!B119</f>
        <v>Select Calculation Method</v>
      </c>
      <c r="D7" s="36" t="s">
        <v>1248</v>
      </c>
      <c r="E7" s="761" t="str">
        <f>Translation!B117</f>
        <v>Luminance and Illuminance calculations can be done based on either IES or CIE standard. The output file reflects the method chosen here.</v>
      </c>
      <c r="F7" s="762"/>
      <c r="G7" s="762"/>
      <c r="H7" s="762"/>
      <c r="I7" s="762"/>
    </row>
    <row r="8" spans="1:27" s="225" customFormat="1" ht="19.5" customHeight="1">
      <c r="A8" s="225" t="s">
        <v>187</v>
      </c>
      <c r="C8" s="907"/>
      <c r="D8" s="907"/>
      <c r="E8" s="907"/>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738"/>
      <c r="D22" s="738"/>
      <c r="E22" s="738"/>
    </row>
    <row r="23" spans="1:9" s="225" customFormat="1">
      <c r="A23" s="225" t="s">
        <v>187</v>
      </c>
      <c r="C23" s="737"/>
      <c r="D23" s="737"/>
      <c r="E23" s="737"/>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905" t="str">
        <f>Translation!B156</f>
        <v>Illumination Engineering Society of North America (IESNA)</v>
      </c>
      <c r="C37" s="906"/>
      <c r="D37" s="906"/>
      <c r="E37" s="906"/>
      <c r="F37" s="906"/>
      <c r="G37" s="906"/>
      <c r="H37" s="906"/>
      <c r="I37" s="906"/>
      <c r="J37" s="906"/>
      <c r="K37" s="906"/>
      <c r="L37" s="906"/>
      <c r="M37" s="906"/>
    </row>
    <row r="38" spans="1:13">
      <c r="A38" s="128" t="s">
        <v>186</v>
      </c>
    </row>
    <row r="39" spans="1:13" ht="15" customHeight="1">
      <c r="A39" s="128" t="s">
        <v>186</v>
      </c>
      <c r="C39" s="739"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740"/>
      <c r="E39" s="740"/>
      <c r="F39" s="740"/>
      <c r="G39" s="740"/>
      <c r="H39" s="740"/>
      <c r="I39" s="740"/>
      <c r="J39" s="740"/>
      <c r="K39" s="740"/>
      <c r="L39" s="740"/>
      <c r="M39" s="741"/>
    </row>
    <row r="40" spans="1:13">
      <c r="A40" s="128" t="s">
        <v>186</v>
      </c>
      <c r="C40" s="742"/>
      <c r="D40" s="743"/>
      <c r="E40" s="743"/>
      <c r="F40" s="743"/>
      <c r="G40" s="743"/>
      <c r="H40" s="743"/>
      <c r="I40" s="743"/>
      <c r="J40" s="743"/>
      <c r="K40" s="743"/>
      <c r="L40" s="743"/>
      <c r="M40" s="744"/>
    </row>
    <row r="41" spans="1:13">
      <c r="A41" s="128" t="s">
        <v>186</v>
      </c>
      <c r="C41" s="742"/>
      <c r="D41" s="743"/>
      <c r="E41" s="743"/>
      <c r="F41" s="743"/>
      <c r="G41" s="743"/>
      <c r="H41" s="743"/>
      <c r="I41" s="743"/>
      <c r="J41" s="743"/>
      <c r="K41" s="743"/>
      <c r="L41" s="743"/>
      <c r="M41" s="744"/>
    </row>
    <row r="42" spans="1:13">
      <c r="A42" s="128" t="s">
        <v>186</v>
      </c>
      <c r="C42" s="742"/>
      <c r="D42" s="743"/>
      <c r="E42" s="743"/>
      <c r="F42" s="743"/>
      <c r="G42" s="743"/>
      <c r="H42" s="743"/>
      <c r="I42" s="743"/>
      <c r="J42" s="743"/>
      <c r="K42" s="743"/>
      <c r="L42" s="743"/>
      <c r="M42" s="744"/>
    </row>
    <row r="43" spans="1:13">
      <c r="A43" s="128" t="s">
        <v>186</v>
      </c>
      <c r="C43" s="742"/>
      <c r="D43" s="743"/>
      <c r="E43" s="743"/>
      <c r="F43" s="743"/>
      <c r="G43" s="743"/>
      <c r="H43" s="743"/>
      <c r="I43" s="743"/>
      <c r="J43" s="743"/>
      <c r="K43" s="743"/>
      <c r="L43" s="743"/>
      <c r="M43" s="744"/>
    </row>
    <row r="44" spans="1:13">
      <c r="A44" s="128" t="s">
        <v>186</v>
      </c>
      <c r="C44" s="742"/>
      <c r="D44" s="743"/>
      <c r="E44" s="743"/>
      <c r="F44" s="743"/>
      <c r="G44" s="743"/>
      <c r="H44" s="743"/>
      <c r="I44" s="743"/>
      <c r="J44" s="743"/>
      <c r="K44" s="743"/>
      <c r="L44" s="743"/>
      <c r="M44" s="744"/>
    </row>
    <row r="45" spans="1:13">
      <c r="A45" s="128" t="s">
        <v>186</v>
      </c>
      <c r="C45" s="742"/>
      <c r="D45" s="743"/>
      <c r="E45" s="743"/>
      <c r="F45" s="743"/>
      <c r="G45" s="743"/>
      <c r="H45" s="743"/>
      <c r="I45" s="743"/>
      <c r="J45" s="743"/>
      <c r="K45" s="743"/>
      <c r="L45" s="743"/>
      <c r="M45" s="744"/>
    </row>
    <row r="46" spans="1:13" ht="15" customHeight="1">
      <c r="A46" s="128" t="s">
        <v>186</v>
      </c>
      <c r="C46" s="742"/>
      <c r="D46" s="743"/>
      <c r="E46" s="743"/>
      <c r="F46" s="743"/>
      <c r="G46" s="743"/>
      <c r="H46" s="743"/>
      <c r="I46" s="743"/>
      <c r="J46" s="743"/>
      <c r="K46" s="743"/>
      <c r="L46" s="743"/>
      <c r="M46" s="744"/>
    </row>
    <row r="47" spans="1:13">
      <c r="A47" s="128" t="s">
        <v>186</v>
      </c>
      <c r="C47" s="742"/>
      <c r="D47" s="743"/>
      <c r="E47" s="743"/>
      <c r="F47" s="743"/>
      <c r="G47" s="743"/>
      <c r="H47" s="743"/>
      <c r="I47" s="743"/>
      <c r="J47" s="743"/>
      <c r="K47" s="743"/>
      <c r="L47" s="743"/>
      <c r="M47" s="744"/>
    </row>
    <row r="48" spans="1:13">
      <c r="A48" s="128" t="s">
        <v>186</v>
      </c>
      <c r="C48" s="742"/>
      <c r="D48" s="743"/>
      <c r="E48" s="743"/>
      <c r="F48" s="743"/>
      <c r="G48" s="743"/>
      <c r="H48" s="743"/>
      <c r="I48" s="743"/>
      <c r="J48" s="743"/>
      <c r="K48" s="743"/>
      <c r="L48" s="743"/>
      <c r="M48" s="744"/>
    </row>
    <row r="49" spans="1:13">
      <c r="A49" s="128" t="s">
        <v>186</v>
      </c>
      <c r="C49" s="742"/>
      <c r="D49" s="743"/>
      <c r="E49" s="743"/>
      <c r="F49" s="743"/>
      <c r="G49" s="743"/>
      <c r="H49" s="743"/>
      <c r="I49" s="743"/>
      <c r="J49" s="743"/>
      <c r="K49" s="743"/>
      <c r="L49" s="743"/>
      <c r="M49" s="744"/>
    </row>
    <row r="50" spans="1:13">
      <c r="A50" s="128" t="s">
        <v>186</v>
      </c>
      <c r="C50" s="742"/>
      <c r="D50" s="743"/>
      <c r="E50" s="743"/>
      <c r="F50" s="743"/>
      <c r="G50" s="743"/>
      <c r="H50" s="743"/>
      <c r="I50" s="743"/>
      <c r="J50" s="743"/>
      <c r="K50" s="743"/>
      <c r="L50" s="743"/>
      <c r="M50" s="744"/>
    </row>
    <row r="51" spans="1:13">
      <c r="A51" s="128" t="s">
        <v>186</v>
      </c>
      <c r="C51" s="742"/>
      <c r="D51" s="743"/>
      <c r="E51" s="743"/>
      <c r="F51" s="743"/>
      <c r="G51" s="743"/>
      <c r="H51" s="743"/>
      <c r="I51" s="743"/>
      <c r="J51" s="743"/>
      <c r="K51" s="743"/>
      <c r="L51" s="743"/>
      <c r="M51" s="744"/>
    </row>
    <row r="52" spans="1:13">
      <c r="A52" s="128" t="s">
        <v>186</v>
      </c>
      <c r="C52" s="745"/>
      <c r="D52" s="746"/>
      <c r="E52" s="746"/>
      <c r="F52" s="746"/>
      <c r="G52" s="746"/>
      <c r="H52" s="746"/>
      <c r="I52" s="746"/>
      <c r="J52" s="746"/>
      <c r="K52" s="746"/>
      <c r="L52" s="746"/>
      <c r="M52" s="747"/>
    </row>
    <row r="53" spans="1:13" ht="15.75" thickBot="1">
      <c r="A53" s="128" t="s">
        <v>186</v>
      </c>
    </row>
    <row r="54" spans="1:13" ht="15.75" thickBot="1">
      <c r="A54" s="128" t="s">
        <v>186</v>
      </c>
      <c r="C54" s="841" t="str">
        <f>Translation!B191</f>
        <v>Table 1: IESNA Illuminance Method - Recommended Values</v>
      </c>
      <c r="D54" s="842"/>
      <c r="E54" s="842"/>
      <c r="F54" s="842"/>
      <c r="G54" s="842"/>
      <c r="H54" s="842"/>
      <c r="I54" s="842"/>
      <c r="J54" s="842"/>
      <c r="K54" s="842"/>
      <c r="L54" s="842"/>
      <c r="M54" s="843"/>
    </row>
    <row r="55" spans="1:13" ht="15" customHeight="1">
      <c r="A55" s="128" t="s">
        <v>186</v>
      </c>
      <c r="C55" s="771" t="str">
        <f>Translation!B184</f>
        <v>Road and Pedestrian Conflict Area</v>
      </c>
      <c r="D55" s="772"/>
      <c r="E55" s="772"/>
      <c r="F55" s="773"/>
      <c r="G55" s="228"/>
      <c r="H55" s="229" t="str">
        <f>Translation!B154</f>
        <v>Illuminance Target (Iavg)</v>
      </c>
      <c r="I55" s="230"/>
      <c r="J55" s="811" t="str">
        <f>Translation!B199</f>
        <v>Uniformity Ratio Eavg/Emin</v>
      </c>
      <c r="K55" s="812"/>
      <c r="L55" s="852" t="str">
        <f>Translation!B201</f>
        <v>Veiling Luminance Ratio                   Lvmax/Lavg</v>
      </c>
      <c r="M55" s="853"/>
    </row>
    <row r="56" spans="1:13" ht="15" customHeight="1">
      <c r="A56" s="128" t="s">
        <v>186</v>
      </c>
      <c r="C56" s="774"/>
      <c r="D56" s="775"/>
      <c r="E56" s="775"/>
      <c r="F56" s="776"/>
      <c r="G56" s="871" t="str">
        <f>Translation!B179</f>
        <v>Pavement Classification
(Minimum Maintained Average Values)</v>
      </c>
      <c r="H56" s="872"/>
      <c r="I56" s="873"/>
      <c r="J56" s="813"/>
      <c r="K56" s="814"/>
      <c r="L56" s="854"/>
      <c r="M56" s="855"/>
    </row>
    <row r="57" spans="1:13">
      <c r="A57" s="128" t="s">
        <v>186</v>
      </c>
      <c r="C57" s="777"/>
      <c r="D57" s="778"/>
      <c r="E57" s="778"/>
      <c r="F57" s="779"/>
      <c r="G57" s="874"/>
      <c r="H57" s="875"/>
      <c r="I57" s="876"/>
      <c r="J57" s="813"/>
      <c r="K57" s="814"/>
      <c r="L57" s="854"/>
      <c r="M57" s="855"/>
    </row>
    <row r="58" spans="1:13" ht="15" customHeight="1">
      <c r="A58" s="128" t="s">
        <v>186</v>
      </c>
      <c r="C58" s="845" t="str">
        <f>Translation!B183</f>
        <v>Road</v>
      </c>
      <c r="D58" s="846"/>
      <c r="E58" s="862" t="str">
        <f>Translation!B180</f>
        <v>Pedestrian Conflict Areas</v>
      </c>
      <c r="F58" s="863"/>
      <c r="G58" s="869" t="s">
        <v>189</v>
      </c>
      <c r="H58" s="869" t="s">
        <v>190</v>
      </c>
      <c r="I58" s="869" t="s">
        <v>191</v>
      </c>
      <c r="J58" s="813"/>
      <c r="K58" s="814"/>
      <c r="L58" s="854"/>
      <c r="M58" s="855"/>
    </row>
    <row r="59" spans="1:13" ht="15.75" thickBot="1">
      <c r="A59" s="128" t="s">
        <v>186</v>
      </c>
      <c r="C59" s="847"/>
      <c r="D59" s="810"/>
      <c r="E59" s="864"/>
      <c r="F59" s="865"/>
      <c r="G59" s="870"/>
      <c r="H59" s="870"/>
      <c r="I59" s="870"/>
      <c r="J59" s="815"/>
      <c r="K59" s="816"/>
      <c r="L59" s="856"/>
      <c r="M59" s="857"/>
    </row>
    <row r="60" spans="1:13" ht="15" customHeight="1">
      <c r="A60" s="128" t="s">
        <v>186</v>
      </c>
      <c r="C60" s="848" t="str">
        <f>Translation!B148</f>
        <v>Freeway Class A</v>
      </c>
      <c r="D60" s="849"/>
      <c r="E60" s="786"/>
      <c r="F60" s="788"/>
      <c r="G60" s="231">
        <v>6</v>
      </c>
      <c r="H60" s="231">
        <v>9</v>
      </c>
      <c r="I60" s="231">
        <v>8</v>
      </c>
      <c r="J60" s="786">
        <v>3</v>
      </c>
      <c r="K60" s="788"/>
      <c r="L60" s="786">
        <v>0.3</v>
      </c>
      <c r="M60" s="866"/>
    </row>
    <row r="61" spans="1:13">
      <c r="A61" s="128" t="s">
        <v>186</v>
      </c>
      <c r="C61" s="878" t="str">
        <f>Translation!B149</f>
        <v>Freeway Class B</v>
      </c>
      <c r="D61" s="879"/>
      <c r="E61" s="780"/>
      <c r="F61" s="781"/>
      <c r="G61" s="232">
        <v>4</v>
      </c>
      <c r="H61" s="232">
        <v>6</v>
      </c>
      <c r="I61" s="232">
        <v>5</v>
      </c>
      <c r="J61" s="780">
        <v>3</v>
      </c>
      <c r="K61" s="781"/>
      <c r="L61" s="780">
        <v>0.3</v>
      </c>
      <c r="M61" s="828"/>
    </row>
    <row r="62" spans="1:13">
      <c r="A62" s="128" t="s">
        <v>186</v>
      </c>
      <c r="C62" s="792" t="str">
        <f>Translation!B147</f>
        <v>Expressway</v>
      </c>
      <c r="D62" s="793"/>
      <c r="E62" s="780" t="str">
        <f>Translation!B150</f>
        <v>High</v>
      </c>
      <c r="F62" s="781"/>
      <c r="G62" s="232">
        <v>10</v>
      </c>
      <c r="H62" s="232">
        <v>14</v>
      </c>
      <c r="I62" s="232">
        <v>13</v>
      </c>
      <c r="J62" s="780">
        <v>3</v>
      </c>
      <c r="K62" s="781"/>
      <c r="L62" s="780">
        <v>0.3</v>
      </c>
      <c r="M62" s="828"/>
    </row>
    <row r="63" spans="1:13">
      <c r="A63" s="128" t="s">
        <v>186</v>
      </c>
      <c r="C63" s="794"/>
      <c r="D63" s="795"/>
      <c r="E63" s="780" t="str">
        <f>Translation!B288</f>
        <v>Medium</v>
      </c>
      <c r="F63" s="781"/>
      <c r="G63" s="232">
        <v>8</v>
      </c>
      <c r="H63" s="232">
        <v>12</v>
      </c>
      <c r="I63" s="232">
        <v>10</v>
      </c>
      <c r="J63" s="780">
        <v>3</v>
      </c>
      <c r="K63" s="781"/>
      <c r="L63" s="780">
        <v>0.3</v>
      </c>
      <c r="M63" s="828"/>
    </row>
    <row r="64" spans="1:13">
      <c r="A64" s="128" t="s">
        <v>186</v>
      </c>
      <c r="C64" s="850"/>
      <c r="D64" s="851"/>
      <c r="E64" s="780" t="str">
        <f>Translation!B160</f>
        <v>Low</v>
      </c>
      <c r="F64" s="781"/>
      <c r="G64" s="232">
        <v>6</v>
      </c>
      <c r="H64" s="232">
        <v>9</v>
      </c>
      <c r="I64" s="232">
        <v>8</v>
      </c>
      <c r="J64" s="780">
        <v>3</v>
      </c>
      <c r="K64" s="781"/>
      <c r="L64" s="780">
        <v>0.3</v>
      </c>
      <c r="M64" s="828"/>
    </row>
    <row r="65" spans="1:14">
      <c r="A65" s="128" t="s">
        <v>186</v>
      </c>
      <c r="C65" s="792" t="str">
        <f>Translation!B165</f>
        <v>Major</v>
      </c>
      <c r="D65" s="793"/>
      <c r="E65" s="780" t="str">
        <f>Translation!B150</f>
        <v>High</v>
      </c>
      <c r="F65" s="781"/>
      <c r="G65" s="232">
        <v>12</v>
      </c>
      <c r="H65" s="232">
        <v>17</v>
      </c>
      <c r="I65" s="232">
        <v>15</v>
      </c>
      <c r="J65" s="780">
        <v>3</v>
      </c>
      <c r="K65" s="781"/>
      <c r="L65" s="780">
        <v>0.3</v>
      </c>
      <c r="M65" s="828"/>
    </row>
    <row r="66" spans="1:14">
      <c r="A66" s="128" t="s">
        <v>186</v>
      </c>
      <c r="C66" s="794"/>
      <c r="D66" s="795"/>
      <c r="E66" s="780" t="str">
        <f>Translation!B288</f>
        <v>Medium</v>
      </c>
      <c r="F66" s="781"/>
      <c r="G66" s="232">
        <v>9</v>
      </c>
      <c r="H66" s="232">
        <v>13</v>
      </c>
      <c r="I66" s="232">
        <v>11</v>
      </c>
      <c r="J66" s="780">
        <v>3</v>
      </c>
      <c r="K66" s="781"/>
      <c r="L66" s="780">
        <v>0.3</v>
      </c>
      <c r="M66" s="828"/>
    </row>
    <row r="67" spans="1:14">
      <c r="A67" s="128" t="s">
        <v>186</v>
      </c>
      <c r="C67" s="850"/>
      <c r="D67" s="851"/>
      <c r="E67" s="780" t="str">
        <f>Translation!B160</f>
        <v>Low</v>
      </c>
      <c r="F67" s="781"/>
      <c r="G67" s="232">
        <v>6</v>
      </c>
      <c r="H67" s="232">
        <v>9</v>
      </c>
      <c r="I67" s="232">
        <v>8</v>
      </c>
      <c r="J67" s="780">
        <v>3</v>
      </c>
      <c r="K67" s="781"/>
      <c r="L67" s="780">
        <v>0.3</v>
      </c>
      <c r="M67" s="828"/>
    </row>
    <row r="68" spans="1:14">
      <c r="A68" s="128" t="s">
        <v>186</v>
      </c>
      <c r="C68" s="792" t="str">
        <f>Translation!B145</f>
        <v>Collector</v>
      </c>
      <c r="D68" s="793"/>
      <c r="E68" s="780" t="str">
        <f>Translation!B150</f>
        <v>High</v>
      </c>
      <c r="F68" s="781"/>
      <c r="G68" s="232">
        <v>8</v>
      </c>
      <c r="H68" s="232">
        <v>12</v>
      </c>
      <c r="I68" s="232">
        <v>10</v>
      </c>
      <c r="J68" s="780">
        <v>4</v>
      </c>
      <c r="K68" s="781"/>
      <c r="L68" s="780">
        <v>0.4</v>
      </c>
      <c r="M68" s="828"/>
    </row>
    <row r="69" spans="1:14">
      <c r="A69" s="128" t="s">
        <v>186</v>
      </c>
      <c r="C69" s="794"/>
      <c r="D69" s="795"/>
      <c r="E69" s="780" t="str">
        <f>Translation!B288</f>
        <v>Medium</v>
      </c>
      <c r="F69" s="781"/>
      <c r="G69" s="232">
        <v>6</v>
      </c>
      <c r="H69" s="232">
        <v>9</v>
      </c>
      <c r="I69" s="232">
        <v>8</v>
      </c>
      <c r="J69" s="780">
        <v>4</v>
      </c>
      <c r="K69" s="781"/>
      <c r="L69" s="780">
        <v>0.4</v>
      </c>
      <c r="M69" s="828"/>
    </row>
    <row r="70" spans="1:14">
      <c r="A70" s="128" t="s">
        <v>186</v>
      </c>
      <c r="C70" s="850"/>
      <c r="D70" s="851"/>
      <c r="E70" s="780" t="str">
        <f>Translation!B160</f>
        <v>Low</v>
      </c>
      <c r="F70" s="781"/>
      <c r="G70" s="232">
        <v>4</v>
      </c>
      <c r="H70" s="232">
        <v>6</v>
      </c>
      <c r="I70" s="232">
        <v>5</v>
      </c>
      <c r="J70" s="780">
        <v>4</v>
      </c>
      <c r="K70" s="781"/>
      <c r="L70" s="780">
        <v>0.4</v>
      </c>
      <c r="M70" s="828"/>
    </row>
    <row r="71" spans="1:14">
      <c r="A71" s="128" t="s">
        <v>186</v>
      </c>
      <c r="C71" s="792" t="str">
        <f>Translation!B159</f>
        <v>Local</v>
      </c>
      <c r="D71" s="793"/>
      <c r="E71" s="780" t="str">
        <f>Translation!B150</f>
        <v>High</v>
      </c>
      <c r="F71" s="781"/>
      <c r="G71" s="232">
        <v>6</v>
      </c>
      <c r="H71" s="232">
        <v>9</v>
      </c>
      <c r="I71" s="232">
        <v>8</v>
      </c>
      <c r="J71" s="780">
        <v>6</v>
      </c>
      <c r="K71" s="781"/>
      <c r="L71" s="780">
        <v>0.4</v>
      </c>
      <c r="M71" s="828"/>
    </row>
    <row r="72" spans="1:14">
      <c r="A72" s="128" t="s">
        <v>186</v>
      </c>
      <c r="C72" s="794"/>
      <c r="D72" s="795"/>
      <c r="E72" s="780" t="str">
        <f>Translation!B288</f>
        <v>Medium</v>
      </c>
      <c r="F72" s="781"/>
      <c r="G72" s="232">
        <v>5</v>
      </c>
      <c r="H72" s="232">
        <v>7</v>
      </c>
      <c r="I72" s="232">
        <v>6</v>
      </c>
      <c r="J72" s="780">
        <v>6</v>
      </c>
      <c r="K72" s="781"/>
      <c r="L72" s="780">
        <v>0.4</v>
      </c>
      <c r="M72" s="828"/>
    </row>
    <row r="73" spans="1:14" ht="15.75" thickBot="1">
      <c r="A73" s="128" t="s">
        <v>186</v>
      </c>
      <c r="C73" s="796"/>
      <c r="D73" s="797"/>
      <c r="E73" s="789" t="str">
        <f>Translation!B160</f>
        <v>Low</v>
      </c>
      <c r="F73" s="791"/>
      <c r="G73" s="233">
        <v>3</v>
      </c>
      <c r="H73" s="233">
        <v>4</v>
      </c>
      <c r="I73" s="233">
        <v>4</v>
      </c>
      <c r="J73" s="789">
        <v>6</v>
      </c>
      <c r="K73" s="791"/>
      <c r="L73" s="789">
        <v>0.4</v>
      </c>
      <c r="M73" s="867"/>
    </row>
    <row r="74" spans="1:14" ht="15.75" thickBot="1">
      <c r="A74" s="128" t="s">
        <v>186</v>
      </c>
    </row>
    <row r="75" spans="1:14" ht="15" customHeight="1" thickBot="1">
      <c r="A75" s="128" t="s">
        <v>186</v>
      </c>
      <c r="C75" s="841" t="str">
        <f>Translation!B287</f>
        <v>Table 2: IESNA Luminance Method - Recommended Values</v>
      </c>
      <c r="D75" s="842"/>
      <c r="E75" s="842"/>
      <c r="F75" s="842"/>
      <c r="G75" s="842"/>
      <c r="H75" s="842"/>
      <c r="I75" s="842"/>
      <c r="J75" s="842"/>
      <c r="K75" s="842"/>
      <c r="L75" s="842"/>
      <c r="M75" s="842"/>
      <c r="N75" s="843"/>
    </row>
    <row r="76" spans="1:14" ht="15" customHeight="1">
      <c r="A76" s="128" t="s">
        <v>186</v>
      </c>
      <c r="C76" s="771" t="str">
        <f>Translation!B184</f>
        <v>Road and Pedestrian Conflict Area</v>
      </c>
      <c r="D76" s="772"/>
      <c r="E76" s="772"/>
      <c r="F76" s="773"/>
      <c r="G76" s="807" t="s">
        <v>346</v>
      </c>
      <c r="H76" s="773"/>
      <c r="I76" s="811" t="s">
        <v>347</v>
      </c>
      <c r="J76" s="812"/>
      <c r="K76" s="817" t="s">
        <v>348</v>
      </c>
      <c r="L76" s="818"/>
      <c r="M76" s="829" t="s">
        <v>349</v>
      </c>
      <c r="N76" s="858"/>
    </row>
    <row r="77" spans="1:14">
      <c r="A77" s="128" t="s">
        <v>186</v>
      </c>
      <c r="C77" s="774"/>
      <c r="D77" s="775"/>
      <c r="E77" s="775"/>
      <c r="F77" s="776"/>
      <c r="G77" s="808"/>
      <c r="H77" s="776"/>
      <c r="I77" s="813"/>
      <c r="J77" s="814"/>
      <c r="K77" s="819"/>
      <c r="L77" s="820"/>
      <c r="M77" s="859"/>
      <c r="N77" s="860"/>
    </row>
    <row r="78" spans="1:14" ht="15" customHeight="1">
      <c r="A78" s="128" t="s">
        <v>186</v>
      </c>
      <c r="C78" s="777"/>
      <c r="D78" s="778"/>
      <c r="E78" s="778"/>
      <c r="F78" s="779"/>
      <c r="G78" s="808"/>
      <c r="H78" s="776"/>
      <c r="I78" s="813"/>
      <c r="J78" s="814"/>
      <c r="K78" s="819"/>
      <c r="L78" s="820"/>
      <c r="M78" s="859"/>
      <c r="N78" s="860"/>
    </row>
    <row r="79" spans="1:14" ht="15" customHeight="1">
      <c r="A79" s="128" t="s">
        <v>186</v>
      </c>
      <c r="C79" s="845" t="str">
        <f>Translation!B183</f>
        <v>Road</v>
      </c>
      <c r="D79" s="846"/>
      <c r="E79" s="862" t="str">
        <f>Translation!B180</f>
        <v>Pedestrian Conflict Areas</v>
      </c>
      <c r="F79" s="863"/>
      <c r="G79" s="808"/>
      <c r="H79" s="776"/>
      <c r="I79" s="813"/>
      <c r="J79" s="814"/>
      <c r="K79" s="819"/>
      <c r="L79" s="820"/>
      <c r="M79" s="859"/>
      <c r="N79" s="860"/>
    </row>
    <row r="80" spans="1:14" ht="15.75" thickBot="1">
      <c r="A80" s="128" t="s">
        <v>186</v>
      </c>
      <c r="C80" s="847"/>
      <c r="D80" s="810"/>
      <c r="E80" s="864"/>
      <c r="F80" s="865"/>
      <c r="G80" s="809"/>
      <c r="H80" s="810"/>
      <c r="I80" s="815"/>
      <c r="J80" s="816"/>
      <c r="K80" s="821"/>
      <c r="L80" s="822"/>
      <c r="M80" s="830"/>
      <c r="N80" s="861"/>
    </row>
    <row r="81" spans="1:14">
      <c r="A81" s="128" t="s">
        <v>186</v>
      </c>
      <c r="C81" s="848" t="str">
        <f>Translation!B148</f>
        <v>Freeway Class A</v>
      </c>
      <c r="D81" s="849"/>
      <c r="E81" s="786"/>
      <c r="F81" s="788"/>
      <c r="G81" s="786">
        <v>0.6</v>
      </c>
      <c r="H81" s="788"/>
      <c r="I81" s="786">
        <v>3.5</v>
      </c>
      <c r="J81" s="788"/>
      <c r="K81" s="786">
        <v>6</v>
      </c>
      <c r="L81" s="866"/>
      <c r="M81" s="877">
        <v>0.3</v>
      </c>
      <c r="N81" s="866"/>
    </row>
    <row r="82" spans="1:14">
      <c r="A82" s="128" t="s">
        <v>186</v>
      </c>
      <c r="C82" s="878" t="str">
        <f>Translation!B149</f>
        <v>Freeway Class B</v>
      </c>
      <c r="D82" s="879"/>
      <c r="E82" s="780"/>
      <c r="F82" s="781"/>
      <c r="G82" s="780">
        <v>0.4</v>
      </c>
      <c r="H82" s="781"/>
      <c r="I82" s="780">
        <v>3.5</v>
      </c>
      <c r="J82" s="781"/>
      <c r="K82" s="780">
        <v>6</v>
      </c>
      <c r="L82" s="828"/>
      <c r="M82" s="868">
        <v>0.3</v>
      </c>
      <c r="N82" s="828"/>
    </row>
    <row r="83" spans="1:14">
      <c r="A83" s="128" t="s">
        <v>186</v>
      </c>
      <c r="C83" s="792" t="str">
        <f>Translation!B147</f>
        <v>Expressway</v>
      </c>
      <c r="D83" s="793"/>
      <c r="E83" s="780" t="str">
        <f>Translation!B150</f>
        <v>High</v>
      </c>
      <c r="F83" s="781"/>
      <c r="G83" s="780">
        <v>1</v>
      </c>
      <c r="H83" s="781"/>
      <c r="I83" s="780">
        <v>3</v>
      </c>
      <c r="J83" s="781"/>
      <c r="K83" s="780">
        <v>5</v>
      </c>
      <c r="L83" s="828"/>
      <c r="M83" s="868">
        <v>0.3</v>
      </c>
      <c r="N83" s="828"/>
    </row>
    <row r="84" spans="1:14">
      <c r="A84" s="128" t="s">
        <v>186</v>
      </c>
      <c r="C84" s="794"/>
      <c r="D84" s="795"/>
      <c r="E84" s="780" t="str">
        <f>Translation!B288</f>
        <v>Medium</v>
      </c>
      <c r="F84" s="781"/>
      <c r="G84" s="780">
        <v>0.8</v>
      </c>
      <c r="H84" s="781"/>
      <c r="I84" s="780">
        <v>3</v>
      </c>
      <c r="J84" s="781"/>
      <c r="K84" s="780">
        <v>5</v>
      </c>
      <c r="L84" s="828"/>
      <c r="M84" s="868">
        <v>0.3</v>
      </c>
      <c r="N84" s="828"/>
    </row>
    <row r="85" spans="1:14">
      <c r="A85" s="128" t="s">
        <v>186</v>
      </c>
      <c r="C85" s="850"/>
      <c r="D85" s="851"/>
      <c r="E85" s="780" t="str">
        <f>Translation!B160</f>
        <v>Low</v>
      </c>
      <c r="F85" s="781"/>
      <c r="G85" s="780">
        <v>0.6</v>
      </c>
      <c r="H85" s="781"/>
      <c r="I85" s="780">
        <v>3.5</v>
      </c>
      <c r="J85" s="781"/>
      <c r="K85" s="780">
        <v>6</v>
      </c>
      <c r="L85" s="828"/>
      <c r="M85" s="868">
        <v>0.3</v>
      </c>
      <c r="N85" s="828"/>
    </row>
    <row r="86" spans="1:14">
      <c r="A86" s="128" t="s">
        <v>186</v>
      </c>
      <c r="C86" s="792" t="str">
        <f>Translation!B165</f>
        <v>Major</v>
      </c>
      <c r="D86" s="793"/>
      <c r="E86" s="780" t="str">
        <f>Translation!B150</f>
        <v>High</v>
      </c>
      <c r="F86" s="781"/>
      <c r="G86" s="780">
        <v>1.2</v>
      </c>
      <c r="H86" s="781"/>
      <c r="I86" s="780">
        <v>3</v>
      </c>
      <c r="J86" s="781"/>
      <c r="K86" s="780">
        <v>5</v>
      </c>
      <c r="L86" s="828"/>
      <c r="M86" s="868">
        <v>0.3</v>
      </c>
      <c r="N86" s="828"/>
    </row>
    <row r="87" spans="1:14">
      <c r="A87" s="128" t="s">
        <v>186</v>
      </c>
      <c r="C87" s="794"/>
      <c r="D87" s="795"/>
      <c r="E87" s="780" t="str">
        <f>Translation!B288</f>
        <v>Medium</v>
      </c>
      <c r="F87" s="781"/>
      <c r="G87" s="780">
        <v>0.9</v>
      </c>
      <c r="H87" s="781"/>
      <c r="I87" s="780">
        <v>3</v>
      </c>
      <c r="J87" s="781"/>
      <c r="K87" s="780">
        <v>5</v>
      </c>
      <c r="L87" s="828"/>
      <c r="M87" s="868">
        <v>0.3</v>
      </c>
      <c r="N87" s="828"/>
    </row>
    <row r="88" spans="1:14">
      <c r="A88" s="128" t="s">
        <v>186</v>
      </c>
      <c r="C88" s="850"/>
      <c r="D88" s="851"/>
      <c r="E88" s="780" t="str">
        <f>Translation!B160</f>
        <v>Low</v>
      </c>
      <c r="F88" s="781"/>
      <c r="G88" s="780">
        <v>0.6</v>
      </c>
      <c r="H88" s="781"/>
      <c r="I88" s="780">
        <v>3.5</v>
      </c>
      <c r="J88" s="781"/>
      <c r="K88" s="780">
        <v>6</v>
      </c>
      <c r="L88" s="828"/>
      <c r="M88" s="868">
        <v>0.3</v>
      </c>
      <c r="N88" s="828"/>
    </row>
    <row r="89" spans="1:14">
      <c r="A89" s="128" t="s">
        <v>186</v>
      </c>
      <c r="C89" s="792" t="str">
        <f>Translation!B145</f>
        <v>Collector</v>
      </c>
      <c r="D89" s="793"/>
      <c r="E89" s="780" t="str">
        <f>Translation!B150</f>
        <v>High</v>
      </c>
      <c r="F89" s="781"/>
      <c r="G89" s="780">
        <v>0.8</v>
      </c>
      <c r="H89" s="781"/>
      <c r="I89" s="780">
        <v>3</v>
      </c>
      <c r="J89" s="781"/>
      <c r="K89" s="780">
        <v>5</v>
      </c>
      <c r="L89" s="828"/>
      <c r="M89" s="868">
        <v>0.4</v>
      </c>
      <c r="N89" s="828"/>
    </row>
    <row r="90" spans="1:14">
      <c r="A90" s="128" t="s">
        <v>186</v>
      </c>
      <c r="C90" s="794"/>
      <c r="D90" s="795"/>
      <c r="E90" s="780" t="str">
        <f>Translation!B288</f>
        <v>Medium</v>
      </c>
      <c r="F90" s="781"/>
      <c r="G90" s="780">
        <v>0.6</v>
      </c>
      <c r="H90" s="781"/>
      <c r="I90" s="780">
        <v>3.5</v>
      </c>
      <c r="J90" s="781"/>
      <c r="K90" s="780">
        <v>6</v>
      </c>
      <c r="L90" s="828"/>
      <c r="M90" s="868">
        <v>0.4</v>
      </c>
      <c r="N90" s="828"/>
    </row>
    <row r="91" spans="1:14">
      <c r="A91" s="128" t="s">
        <v>186</v>
      </c>
      <c r="C91" s="850"/>
      <c r="D91" s="851"/>
      <c r="E91" s="780" t="str">
        <f>Translation!B160</f>
        <v>Low</v>
      </c>
      <c r="F91" s="781"/>
      <c r="G91" s="780">
        <v>0.4</v>
      </c>
      <c r="H91" s="781"/>
      <c r="I91" s="780">
        <v>4</v>
      </c>
      <c r="J91" s="781"/>
      <c r="K91" s="780">
        <v>8</v>
      </c>
      <c r="L91" s="828"/>
      <c r="M91" s="868">
        <v>0.4</v>
      </c>
      <c r="N91" s="828"/>
    </row>
    <row r="92" spans="1:14">
      <c r="A92" s="128" t="s">
        <v>186</v>
      </c>
      <c r="C92" s="792" t="str">
        <f>Translation!B159</f>
        <v>Local</v>
      </c>
      <c r="D92" s="793"/>
      <c r="E92" s="780" t="str">
        <f>Translation!B150</f>
        <v>High</v>
      </c>
      <c r="F92" s="781"/>
      <c r="G92" s="780">
        <v>0.6</v>
      </c>
      <c r="H92" s="781"/>
      <c r="I92" s="780">
        <v>6</v>
      </c>
      <c r="J92" s="781"/>
      <c r="K92" s="780">
        <v>10</v>
      </c>
      <c r="L92" s="828"/>
      <c r="M92" s="868">
        <v>0.4</v>
      </c>
      <c r="N92" s="828"/>
    </row>
    <row r="93" spans="1:14">
      <c r="A93" s="128" t="s">
        <v>186</v>
      </c>
      <c r="C93" s="794"/>
      <c r="D93" s="795"/>
      <c r="E93" s="780" t="str">
        <f>Translation!B288</f>
        <v>Medium</v>
      </c>
      <c r="F93" s="781"/>
      <c r="G93" s="780">
        <v>0.5</v>
      </c>
      <c r="H93" s="781"/>
      <c r="I93" s="780">
        <v>6</v>
      </c>
      <c r="J93" s="781"/>
      <c r="K93" s="780">
        <v>10</v>
      </c>
      <c r="L93" s="828"/>
      <c r="M93" s="868">
        <v>0.4</v>
      </c>
      <c r="N93" s="828"/>
    </row>
    <row r="94" spans="1:14" ht="15.75" thickBot="1">
      <c r="A94" s="128" t="s">
        <v>186</v>
      </c>
      <c r="C94" s="796"/>
      <c r="D94" s="797"/>
      <c r="E94" s="789" t="str">
        <f>Translation!B160</f>
        <v>Low</v>
      </c>
      <c r="F94" s="791"/>
      <c r="G94" s="789">
        <v>0.3</v>
      </c>
      <c r="H94" s="791"/>
      <c r="I94" s="789">
        <v>6</v>
      </c>
      <c r="J94" s="791"/>
      <c r="K94" s="789">
        <v>10</v>
      </c>
      <c r="L94" s="867"/>
      <c r="M94" s="914">
        <v>0.4</v>
      </c>
      <c r="N94" s="867"/>
    </row>
    <row r="95" spans="1:14">
      <c r="A95" s="128" t="s">
        <v>186</v>
      </c>
    </row>
    <row r="96" spans="1:14" ht="15" customHeight="1">
      <c r="A96" s="128" t="s">
        <v>186</v>
      </c>
      <c r="C96" s="739"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740"/>
      <c r="E96" s="740"/>
      <c r="F96" s="740"/>
      <c r="G96" s="740"/>
      <c r="H96" s="740"/>
      <c r="I96" s="740"/>
      <c r="J96" s="740"/>
      <c r="K96" s="740"/>
      <c r="L96" s="740"/>
      <c r="M96" s="741"/>
    </row>
    <row r="97" spans="1:13">
      <c r="A97" s="128" t="s">
        <v>186</v>
      </c>
      <c r="C97" s="742"/>
      <c r="D97" s="743"/>
      <c r="E97" s="743"/>
      <c r="F97" s="743"/>
      <c r="G97" s="743"/>
      <c r="H97" s="743"/>
      <c r="I97" s="743"/>
      <c r="J97" s="743"/>
      <c r="K97" s="743"/>
      <c r="L97" s="743"/>
      <c r="M97" s="744"/>
    </row>
    <row r="98" spans="1:13">
      <c r="A98" s="128" t="s">
        <v>186</v>
      </c>
      <c r="C98" s="742"/>
      <c r="D98" s="743"/>
      <c r="E98" s="743"/>
      <c r="F98" s="743"/>
      <c r="G98" s="743"/>
      <c r="H98" s="743"/>
      <c r="I98" s="743"/>
      <c r="J98" s="743"/>
      <c r="K98" s="743"/>
      <c r="L98" s="743"/>
      <c r="M98" s="744"/>
    </row>
    <row r="99" spans="1:13">
      <c r="A99" s="128" t="s">
        <v>186</v>
      </c>
      <c r="C99" s="742"/>
      <c r="D99" s="743"/>
      <c r="E99" s="743"/>
      <c r="F99" s="743"/>
      <c r="G99" s="743"/>
      <c r="H99" s="743"/>
      <c r="I99" s="743"/>
      <c r="J99" s="743"/>
      <c r="K99" s="743"/>
      <c r="L99" s="743"/>
      <c r="M99" s="744"/>
    </row>
    <row r="100" spans="1:13">
      <c r="A100" s="128" t="s">
        <v>186</v>
      </c>
      <c r="C100" s="742"/>
      <c r="D100" s="743"/>
      <c r="E100" s="743"/>
      <c r="F100" s="743"/>
      <c r="G100" s="743"/>
      <c r="H100" s="743"/>
      <c r="I100" s="743"/>
      <c r="J100" s="743"/>
      <c r="K100" s="743"/>
      <c r="L100" s="743"/>
      <c r="M100" s="744"/>
    </row>
    <row r="101" spans="1:13">
      <c r="A101" s="128" t="s">
        <v>186</v>
      </c>
      <c r="C101" s="742"/>
      <c r="D101" s="743"/>
      <c r="E101" s="743"/>
      <c r="F101" s="743"/>
      <c r="G101" s="743"/>
      <c r="H101" s="743"/>
      <c r="I101" s="743"/>
      <c r="J101" s="743"/>
      <c r="K101" s="743"/>
      <c r="L101" s="743"/>
      <c r="M101" s="744"/>
    </row>
    <row r="102" spans="1:13">
      <c r="A102" s="128" t="s">
        <v>186</v>
      </c>
      <c r="C102" s="742"/>
      <c r="D102" s="743"/>
      <c r="E102" s="743"/>
      <c r="F102" s="743"/>
      <c r="G102" s="743"/>
      <c r="H102" s="743"/>
      <c r="I102" s="743"/>
      <c r="J102" s="743"/>
      <c r="K102" s="743"/>
      <c r="L102" s="743"/>
      <c r="M102" s="744"/>
    </row>
    <row r="103" spans="1:13">
      <c r="A103" s="128" t="s">
        <v>186</v>
      </c>
      <c r="C103" s="742"/>
      <c r="D103" s="743"/>
      <c r="E103" s="743"/>
      <c r="F103" s="743"/>
      <c r="G103" s="743"/>
      <c r="H103" s="743"/>
      <c r="I103" s="743"/>
      <c r="J103" s="743"/>
      <c r="K103" s="743"/>
      <c r="L103" s="743"/>
      <c r="M103" s="744"/>
    </row>
    <row r="104" spans="1:13">
      <c r="A104" s="128" t="s">
        <v>186</v>
      </c>
      <c r="C104" s="742"/>
      <c r="D104" s="743"/>
      <c r="E104" s="743"/>
      <c r="F104" s="743"/>
      <c r="G104" s="743"/>
      <c r="H104" s="743"/>
      <c r="I104" s="743"/>
      <c r="J104" s="743"/>
      <c r="K104" s="743"/>
      <c r="L104" s="743"/>
      <c r="M104" s="744"/>
    </row>
    <row r="105" spans="1:13">
      <c r="A105" s="128" t="s">
        <v>186</v>
      </c>
      <c r="C105" s="742"/>
      <c r="D105" s="743"/>
      <c r="E105" s="743"/>
      <c r="F105" s="743"/>
      <c r="G105" s="743"/>
      <c r="H105" s="743"/>
      <c r="I105" s="743"/>
      <c r="J105" s="743"/>
      <c r="K105" s="743"/>
      <c r="L105" s="743"/>
      <c r="M105" s="744"/>
    </row>
    <row r="106" spans="1:13">
      <c r="A106" s="128" t="s">
        <v>186</v>
      </c>
      <c r="C106" s="742"/>
      <c r="D106" s="743"/>
      <c r="E106" s="743"/>
      <c r="F106" s="743"/>
      <c r="G106" s="743"/>
      <c r="H106" s="743"/>
      <c r="I106" s="743"/>
      <c r="J106" s="743"/>
      <c r="K106" s="743"/>
      <c r="L106" s="743"/>
      <c r="M106" s="744"/>
    </row>
    <row r="107" spans="1:13">
      <c r="A107" s="128" t="s">
        <v>186</v>
      </c>
      <c r="C107" s="742"/>
      <c r="D107" s="743"/>
      <c r="E107" s="743"/>
      <c r="F107" s="743"/>
      <c r="G107" s="743"/>
      <c r="H107" s="743"/>
      <c r="I107" s="743"/>
      <c r="J107" s="743"/>
      <c r="K107" s="743"/>
      <c r="L107" s="743"/>
      <c r="M107" s="744"/>
    </row>
    <row r="108" spans="1:13">
      <c r="A108" s="128" t="s">
        <v>186</v>
      </c>
      <c r="C108" s="742"/>
      <c r="D108" s="743"/>
      <c r="E108" s="743"/>
      <c r="F108" s="743"/>
      <c r="G108" s="743"/>
      <c r="H108" s="743"/>
      <c r="I108" s="743"/>
      <c r="J108" s="743"/>
      <c r="K108" s="743"/>
      <c r="L108" s="743"/>
      <c r="M108" s="744"/>
    </row>
    <row r="109" spans="1:13">
      <c r="A109" s="128" t="s">
        <v>186</v>
      </c>
      <c r="C109" s="742"/>
      <c r="D109" s="743"/>
      <c r="E109" s="743"/>
      <c r="F109" s="743"/>
      <c r="G109" s="743"/>
      <c r="H109" s="743"/>
      <c r="I109" s="743"/>
      <c r="J109" s="743"/>
      <c r="K109" s="743"/>
      <c r="L109" s="743"/>
      <c r="M109" s="744"/>
    </row>
    <row r="110" spans="1:13">
      <c r="A110" s="128" t="s">
        <v>186</v>
      </c>
      <c r="C110" s="742"/>
      <c r="D110" s="743"/>
      <c r="E110" s="743"/>
      <c r="F110" s="743"/>
      <c r="G110" s="743"/>
      <c r="H110" s="743"/>
      <c r="I110" s="743"/>
      <c r="J110" s="743"/>
      <c r="K110" s="743"/>
      <c r="L110" s="743"/>
      <c r="M110" s="744"/>
    </row>
    <row r="111" spans="1:13">
      <c r="A111" s="128" t="s">
        <v>186</v>
      </c>
      <c r="C111" s="742"/>
      <c r="D111" s="743"/>
      <c r="E111" s="743"/>
      <c r="F111" s="743"/>
      <c r="G111" s="743"/>
      <c r="H111" s="743"/>
      <c r="I111" s="743"/>
      <c r="J111" s="743"/>
      <c r="K111" s="743"/>
      <c r="L111" s="743"/>
      <c r="M111" s="744"/>
    </row>
    <row r="112" spans="1:13">
      <c r="A112" s="128" t="s">
        <v>186</v>
      </c>
      <c r="C112" s="742"/>
      <c r="D112" s="743"/>
      <c r="E112" s="743"/>
      <c r="F112" s="743"/>
      <c r="G112" s="743"/>
      <c r="H112" s="743"/>
      <c r="I112" s="743"/>
      <c r="J112" s="743"/>
      <c r="K112" s="743"/>
      <c r="L112" s="743"/>
      <c r="M112" s="744"/>
    </row>
    <row r="113" spans="1:13">
      <c r="A113" s="128" t="s">
        <v>186</v>
      </c>
      <c r="C113" s="742"/>
      <c r="D113" s="743"/>
      <c r="E113" s="743"/>
      <c r="F113" s="743"/>
      <c r="G113" s="743"/>
      <c r="H113" s="743"/>
      <c r="I113" s="743"/>
      <c r="J113" s="743"/>
      <c r="K113" s="743"/>
      <c r="L113" s="743"/>
      <c r="M113" s="744"/>
    </row>
    <row r="114" spans="1:13">
      <c r="A114" s="128" t="s">
        <v>186</v>
      </c>
      <c r="C114" s="742"/>
      <c r="D114" s="743"/>
      <c r="E114" s="743"/>
      <c r="F114" s="743"/>
      <c r="G114" s="743"/>
      <c r="H114" s="743"/>
      <c r="I114" s="743"/>
      <c r="J114" s="743"/>
      <c r="K114" s="743"/>
      <c r="L114" s="743"/>
      <c r="M114" s="744"/>
    </row>
    <row r="115" spans="1:13">
      <c r="A115" s="128" t="s">
        <v>186</v>
      </c>
      <c r="C115" s="742"/>
      <c r="D115" s="743"/>
      <c r="E115" s="743"/>
      <c r="F115" s="743"/>
      <c r="G115" s="743"/>
      <c r="H115" s="743"/>
      <c r="I115" s="743"/>
      <c r="J115" s="743"/>
      <c r="K115" s="743"/>
      <c r="L115" s="743"/>
      <c r="M115" s="744"/>
    </row>
    <row r="116" spans="1:13">
      <c r="A116" s="128" t="s">
        <v>186</v>
      </c>
      <c r="C116" s="742"/>
      <c r="D116" s="743"/>
      <c r="E116" s="743"/>
      <c r="F116" s="743"/>
      <c r="G116" s="743"/>
      <c r="H116" s="743"/>
      <c r="I116" s="743"/>
      <c r="J116" s="743"/>
      <c r="K116" s="743"/>
      <c r="L116" s="743"/>
      <c r="M116" s="744"/>
    </row>
    <row r="117" spans="1:13">
      <c r="A117" s="128" t="s">
        <v>186</v>
      </c>
      <c r="C117" s="742"/>
      <c r="D117" s="743"/>
      <c r="E117" s="743"/>
      <c r="F117" s="743"/>
      <c r="G117" s="743"/>
      <c r="H117" s="743"/>
      <c r="I117" s="743"/>
      <c r="J117" s="743"/>
      <c r="K117" s="743"/>
      <c r="L117" s="743"/>
      <c r="M117" s="744"/>
    </row>
    <row r="118" spans="1:13">
      <c r="A118" s="128" t="s">
        <v>186</v>
      </c>
      <c r="C118" s="742"/>
      <c r="D118" s="743"/>
      <c r="E118" s="743"/>
      <c r="F118" s="743"/>
      <c r="G118" s="743"/>
      <c r="H118" s="743"/>
      <c r="I118" s="743"/>
      <c r="J118" s="743"/>
      <c r="K118" s="743"/>
      <c r="L118" s="743"/>
      <c r="M118" s="744"/>
    </row>
    <row r="119" spans="1:13">
      <c r="A119" s="128" t="s">
        <v>186</v>
      </c>
      <c r="C119" s="742"/>
      <c r="D119" s="743"/>
      <c r="E119" s="743"/>
      <c r="F119" s="743"/>
      <c r="G119" s="743"/>
      <c r="H119" s="743"/>
      <c r="I119" s="743"/>
      <c r="J119" s="743"/>
      <c r="K119" s="743"/>
      <c r="L119" s="743"/>
      <c r="M119" s="744"/>
    </row>
    <row r="120" spans="1:13">
      <c r="A120" s="128" t="s">
        <v>186</v>
      </c>
      <c r="C120" s="742"/>
      <c r="D120" s="743"/>
      <c r="E120" s="743"/>
      <c r="F120" s="743"/>
      <c r="G120" s="743"/>
      <c r="H120" s="743"/>
      <c r="I120" s="743"/>
      <c r="J120" s="743"/>
      <c r="K120" s="743"/>
      <c r="L120" s="743"/>
      <c r="M120" s="744"/>
    </row>
    <row r="121" spans="1:13">
      <c r="A121" s="128" t="s">
        <v>186</v>
      </c>
      <c r="C121" s="742"/>
      <c r="D121" s="743"/>
      <c r="E121" s="743"/>
      <c r="F121" s="743"/>
      <c r="G121" s="743"/>
      <c r="H121" s="743"/>
      <c r="I121" s="743"/>
      <c r="J121" s="743"/>
      <c r="K121" s="743"/>
      <c r="L121" s="743"/>
      <c r="M121" s="744"/>
    </row>
    <row r="122" spans="1:13" ht="45.75" customHeight="1">
      <c r="A122" s="128" t="s">
        <v>186</v>
      </c>
      <c r="B122" s="524" t="str">
        <f>Translation!B126</f>
        <v>Go back</v>
      </c>
      <c r="C122" s="742"/>
      <c r="D122" s="743"/>
      <c r="E122" s="743"/>
      <c r="F122" s="743"/>
      <c r="G122" s="743"/>
      <c r="H122" s="743"/>
      <c r="I122" s="743"/>
      <c r="J122" s="743"/>
      <c r="K122" s="743"/>
      <c r="L122" s="743"/>
      <c r="M122" s="744"/>
    </row>
    <row r="123" spans="1:13">
      <c r="A123" s="128" t="s">
        <v>186</v>
      </c>
      <c r="C123" s="742"/>
      <c r="D123" s="743"/>
      <c r="E123" s="743"/>
      <c r="F123" s="743"/>
      <c r="G123" s="743"/>
      <c r="H123" s="743"/>
      <c r="I123" s="743"/>
      <c r="J123" s="743"/>
      <c r="K123" s="743"/>
      <c r="L123" s="743"/>
      <c r="M123" s="744"/>
    </row>
    <row r="124" spans="1:13">
      <c r="A124" s="128" t="s">
        <v>186</v>
      </c>
      <c r="C124" s="742"/>
      <c r="D124" s="743"/>
      <c r="E124" s="743"/>
      <c r="F124" s="743"/>
      <c r="G124" s="743"/>
      <c r="H124" s="743"/>
      <c r="I124" s="743"/>
      <c r="J124" s="743"/>
      <c r="K124" s="743"/>
      <c r="L124" s="743"/>
      <c r="M124" s="744"/>
    </row>
    <row r="125" spans="1:13" ht="31.5" customHeight="1">
      <c r="A125" s="128" t="s">
        <v>186</v>
      </c>
      <c r="B125" s="296" t="str">
        <f>Translation!B186</f>
        <v>Road Surface Type</v>
      </c>
      <c r="C125" s="742"/>
      <c r="D125" s="743"/>
      <c r="E125" s="743"/>
      <c r="F125" s="743"/>
      <c r="G125" s="743"/>
      <c r="H125" s="743"/>
      <c r="I125" s="743"/>
      <c r="J125" s="743"/>
      <c r="K125" s="743"/>
      <c r="L125" s="743"/>
      <c r="M125" s="744"/>
    </row>
    <row r="126" spans="1:13">
      <c r="A126" s="128" t="s">
        <v>186</v>
      </c>
      <c r="C126" s="742"/>
      <c r="D126" s="743"/>
      <c r="E126" s="743"/>
      <c r="F126" s="743"/>
      <c r="G126" s="743"/>
      <c r="H126" s="743"/>
      <c r="I126" s="743"/>
      <c r="J126" s="743"/>
      <c r="K126" s="743"/>
      <c r="L126" s="743"/>
      <c r="M126" s="744"/>
    </row>
    <row r="127" spans="1:13">
      <c r="A127" s="128" t="s">
        <v>186</v>
      </c>
      <c r="C127" s="742"/>
      <c r="D127" s="743"/>
      <c r="E127" s="743"/>
      <c r="F127" s="743"/>
      <c r="G127" s="743"/>
      <c r="H127" s="743"/>
      <c r="I127" s="743"/>
      <c r="J127" s="743"/>
      <c r="K127" s="743"/>
      <c r="L127" s="743"/>
      <c r="M127" s="744"/>
    </row>
    <row r="128" spans="1:13">
      <c r="A128" s="128" t="s">
        <v>186</v>
      </c>
      <c r="C128" s="742"/>
      <c r="D128" s="743"/>
      <c r="E128" s="743"/>
      <c r="F128" s="743"/>
      <c r="G128" s="743"/>
      <c r="H128" s="743"/>
      <c r="I128" s="743"/>
      <c r="J128" s="743"/>
      <c r="K128" s="743"/>
      <c r="L128" s="743"/>
      <c r="M128" s="744"/>
    </row>
    <row r="129" spans="1:13">
      <c r="A129" s="128" t="s">
        <v>186</v>
      </c>
      <c r="C129" s="742"/>
      <c r="D129" s="743"/>
      <c r="E129" s="743"/>
      <c r="F129" s="743"/>
      <c r="G129" s="743"/>
      <c r="H129" s="743"/>
      <c r="I129" s="743"/>
      <c r="J129" s="743"/>
      <c r="K129" s="743"/>
      <c r="L129" s="743"/>
      <c r="M129" s="744"/>
    </row>
    <row r="130" spans="1:13">
      <c r="A130" s="128" t="s">
        <v>186</v>
      </c>
      <c r="C130" s="742"/>
      <c r="D130" s="743"/>
      <c r="E130" s="743"/>
      <c r="F130" s="743"/>
      <c r="G130" s="743"/>
      <c r="H130" s="743"/>
      <c r="I130" s="743"/>
      <c r="J130" s="743"/>
      <c r="K130" s="743"/>
      <c r="L130" s="743"/>
      <c r="M130" s="744"/>
    </row>
    <row r="131" spans="1:13">
      <c r="A131" s="128" t="s">
        <v>186</v>
      </c>
      <c r="C131" s="742"/>
      <c r="D131" s="743"/>
      <c r="E131" s="743"/>
      <c r="F131" s="743"/>
      <c r="G131" s="743"/>
      <c r="H131" s="743"/>
      <c r="I131" s="743"/>
      <c r="J131" s="743"/>
      <c r="K131" s="743"/>
      <c r="L131" s="743"/>
      <c r="M131" s="744"/>
    </row>
    <row r="132" spans="1:13">
      <c r="A132" s="128" t="s">
        <v>186</v>
      </c>
      <c r="C132" s="742"/>
      <c r="D132" s="743"/>
      <c r="E132" s="743"/>
      <c r="F132" s="743"/>
      <c r="G132" s="743"/>
      <c r="H132" s="743"/>
      <c r="I132" s="743"/>
      <c r="J132" s="743"/>
      <c r="K132" s="743"/>
      <c r="L132" s="743"/>
      <c r="M132" s="744"/>
    </row>
    <row r="133" spans="1:13">
      <c r="A133" s="128" t="s">
        <v>186</v>
      </c>
      <c r="C133" s="742"/>
      <c r="D133" s="743"/>
      <c r="E133" s="743"/>
      <c r="F133" s="743"/>
      <c r="G133" s="743"/>
      <c r="H133" s="743"/>
      <c r="I133" s="743"/>
      <c r="J133" s="743"/>
      <c r="K133" s="743"/>
      <c r="L133" s="743"/>
      <c r="M133" s="744"/>
    </row>
    <row r="134" spans="1:13">
      <c r="A134" s="128" t="s">
        <v>186</v>
      </c>
      <c r="C134" s="742"/>
      <c r="D134" s="743"/>
      <c r="E134" s="743"/>
      <c r="F134" s="743"/>
      <c r="G134" s="743"/>
      <c r="H134" s="743"/>
      <c r="I134" s="743"/>
      <c r="J134" s="743"/>
      <c r="K134" s="743"/>
      <c r="L134" s="743"/>
      <c r="M134" s="744"/>
    </row>
    <row r="135" spans="1:13">
      <c r="A135" s="128" t="s">
        <v>186</v>
      </c>
      <c r="C135" s="745"/>
      <c r="D135" s="746"/>
      <c r="E135" s="746"/>
      <c r="F135" s="746"/>
      <c r="G135" s="746"/>
      <c r="H135" s="746"/>
      <c r="I135" s="746"/>
      <c r="J135" s="746"/>
      <c r="K135" s="746"/>
      <c r="L135" s="746"/>
      <c r="M135" s="747"/>
    </row>
    <row r="136" spans="1:13" ht="21" customHeight="1">
      <c r="A136" s="128" t="s">
        <v>186</v>
      </c>
      <c r="C136" s="838" t="str">
        <f>Translation!B211</f>
        <v xml:space="preserve">Design Criteria  Illuminance </v>
      </c>
      <c r="D136" s="839"/>
      <c r="E136" s="839"/>
      <c r="F136" s="839"/>
      <c r="G136" s="839"/>
      <c r="H136" s="839"/>
      <c r="I136" s="839"/>
      <c r="J136" s="839"/>
      <c r="K136" s="839"/>
      <c r="L136" s="839"/>
      <c r="M136" s="840"/>
    </row>
    <row r="137" spans="1:13" ht="15" customHeight="1">
      <c r="A137" s="128" t="s">
        <v>186</v>
      </c>
      <c r="C137" s="801"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02"/>
      <c r="E137" s="802"/>
      <c r="F137" s="802"/>
      <c r="G137" s="802"/>
      <c r="H137" s="802"/>
      <c r="I137" s="802"/>
      <c r="J137" s="802"/>
      <c r="K137" s="802"/>
      <c r="L137" s="802"/>
      <c r="M137" s="803"/>
    </row>
    <row r="138" spans="1:13">
      <c r="A138" s="128" t="s">
        <v>186</v>
      </c>
      <c r="C138" s="801"/>
      <c r="D138" s="802"/>
      <c r="E138" s="802"/>
      <c r="F138" s="802"/>
      <c r="G138" s="802"/>
      <c r="H138" s="802"/>
      <c r="I138" s="802"/>
      <c r="J138" s="802"/>
      <c r="K138" s="802"/>
      <c r="L138" s="802"/>
      <c r="M138" s="803"/>
    </row>
    <row r="139" spans="1:13">
      <c r="A139" s="128" t="s">
        <v>186</v>
      </c>
      <c r="C139" s="801"/>
      <c r="D139" s="802"/>
      <c r="E139" s="802"/>
      <c r="F139" s="802"/>
      <c r="G139" s="802"/>
      <c r="H139" s="802"/>
      <c r="I139" s="802"/>
      <c r="J139" s="802"/>
      <c r="K139" s="802"/>
      <c r="L139" s="802"/>
      <c r="M139" s="803"/>
    </row>
    <row r="140" spans="1:13">
      <c r="A140" s="128" t="s">
        <v>186</v>
      </c>
      <c r="C140" s="801"/>
      <c r="D140" s="802"/>
      <c r="E140" s="802"/>
      <c r="F140" s="802"/>
      <c r="G140" s="802"/>
      <c r="H140" s="802"/>
      <c r="I140" s="802"/>
      <c r="J140" s="802"/>
      <c r="K140" s="802"/>
      <c r="L140" s="802"/>
      <c r="M140" s="803"/>
    </row>
    <row r="141" spans="1:13">
      <c r="A141" s="128" t="s">
        <v>186</v>
      </c>
      <c r="C141" s="801"/>
      <c r="D141" s="802"/>
      <c r="E141" s="802"/>
      <c r="F141" s="802"/>
      <c r="G141" s="802"/>
      <c r="H141" s="802"/>
      <c r="I141" s="802"/>
      <c r="J141" s="802"/>
      <c r="K141" s="802"/>
      <c r="L141" s="802"/>
      <c r="M141" s="803"/>
    </row>
    <row r="142" spans="1:13">
      <c r="A142" s="128" t="s">
        <v>186</v>
      </c>
      <c r="C142" s="801"/>
      <c r="D142" s="802"/>
      <c r="E142" s="802"/>
      <c r="F142" s="802"/>
      <c r="G142" s="802"/>
      <c r="H142" s="802"/>
      <c r="I142" s="802"/>
      <c r="J142" s="802"/>
      <c r="K142" s="802"/>
      <c r="L142" s="802"/>
      <c r="M142" s="803"/>
    </row>
    <row r="143" spans="1:13">
      <c r="A143" s="128" t="s">
        <v>186</v>
      </c>
      <c r="C143" s="801"/>
      <c r="D143" s="802"/>
      <c r="E143" s="802"/>
      <c r="F143" s="802"/>
      <c r="G143" s="802"/>
      <c r="H143" s="802"/>
      <c r="I143" s="802"/>
      <c r="J143" s="802"/>
      <c r="K143" s="802"/>
      <c r="L143" s="802"/>
      <c r="M143" s="803"/>
    </row>
    <row r="144" spans="1:13">
      <c r="A144" s="128" t="s">
        <v>186</v>
      </c>
      <c r="C144" s="801"/>
      <c r="D144" s="802"/>
      <c r="E144" s="802"/>
      <c r="F144" s="802"/>
      <c r="G144" s="802"/>
      <c r="H144" s="802"/>
      <c r="I144" s="802"/>
      <c r="J144" s="802"/>
      <c r="K144" s="802"/>
      <c r="L144" s="802"/>
      <c r="M144" s="803"/>
    </row>
    <row r="145" spans="1:13" ht="15" customHeight="1">
      <c r="A145" s="128" t="s">
        <v>186</v>
      </c>
      <c r="C145" s="801"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02"/>
      <c r="E145" s="802"/>
      <c r="F145" s="802"/>
      <c r="G145" s="802"/>
      <c r="H145" s="802"/>
      <c r="I145" s="802"/>
      <c r="J145" s="802"/>
      <c r="K145" s="802"/>
      <c r="L145" s="802"/>
      <c r="M145" s="803"/>
    </row>
    <row r="146" spans="1:13">
      <c r="A146" s="128" t="s">
        <v>186</v>
      </c>
      <c r="C146" s="801"/>
      <c r="D146" s="802"/>
      <c r="E146" s="802"/>
      <c r="F146" s="802"/>
      <c r="G146" s="802"/>
      <c r="H146" s="802"/>
      <c r="I146" s="802"/>
      <c r="J146" s="802"/>
      <c r="K146" s="802"/>
      <c r="L146" s="802"/>
      <c r="M146" s="803"/>
    </row>
    <row r="147" spans="1:13">
      <c r="A147" s="128" t="s">
        <v>186</v>
      </c>
      <c r="C147" s="801"/>
      <c r="D147" s="802"/>
      <c r="E147" s="802"/>
      <c r="F147" s="802"/>
      <c r="G147" s="802"/>
      <c r="H147" s="802"/>
      <c r="I147" s="802"/>
      <c r="J147" s="802"/>
      <c r="K147" s="802"/>
      <c r="L147" s="802"/>
      <c r="M147" s="803"/>
    </row>
    <row r="148" spans="1:13">
      <c r="A148" s="128" t="s">
        <v>186</v>
      </c>
      <c r="C148" s="801"/>
      <c r="D148" s="802"/>
      <c r="E148" s="802"/>
      <c r="F148" s="802"/>
      <c r="G148" s="802"/>
      <c r="H148" s="802"/>
      <c r="I148" s="802"/>
      <c r="J148" s="802"/>
      <c r="K148" s="802"/>
      <c r="L148" s="802"/>
      <c r="M148" s="803"/>
    </row>
    <row r="149" spans="1:13">
      <c r="A149" s="128" t="s">
        <v>186</v>
      </c>
      <c r="C149" s="801"/>
      <c r="D149" s="802"/>
      <c r="E149" s="802"/>
      <c r="F149" s="802"/>
      <c r="G149" s="802"/>
      <c r="H149" s="802"/>
      <c r="I149" s="802"/>
      <c r="J149" s="802"/>
      <c r="K149" s="802"/>
      <c r="L149" s="802"/>
      <c r="M149" s="803"/>
    </row>
    <row r="150" spans="1:13">
      <c r="A150" s="128" t="s">
        <v>186</v>
      </c>
      <c r="C150" s="801"/>
      <c r="D150" s="802"/>
      <c r="E150" s="802"/>
      <c r="F150" s="802"/>
      <c r="G150" s="802"/>
      <c r="H150" s="802"/>
      <c r="I150" s="802"/>
      <c r="J150" s="802"/>
      <c r="K150" s="802"/>
      <c r="L150" s="802"/>
      <c r="M150" s="803"/>
    </row>
    <row r="151" spans="1:13">
      <c r="A151" s="128" t="s">
        <v>186</v>
      </c>
      <c r="C151" s="804"/>
      <c r="D151" s="805"/>
      <c r="E151" s="805"/>
      <c r="F151" s="805"/>
      <c r="G151" s="805"/>
      <c r="H151" s="805"/>
      <c r="I151" s="805"/>
      <c r="J151" s="805"/>
      <c r="K151" s="805"/>
      <c r="L151" s="805"/>
      <c r="M151" s="806"/>
    </row>
    <row r="152" spans="1:13">
      <c r="A152" s="128" t="s">
        <v>186</v>
      </c>
    </row>
    <row r="153" spans="1:13">
      <c r="A153" s="128" t="s">
        <v>181</v>
      </c>
    </row>
    <row r="154" spans="1:13" ht="18.75" customHeight="1">
      <c r="A154" s="128" t="s">
        <v>181</v>
      </c>
      <c r="B154" s="905" t="str">
        <f>Translation!B155</f>
        <v>International Commission on Illumination (CIE)</v>
      </c>
      <c r="C154" s="906"/>
      <c r="D154" s="906"/>
      <c r="E154" s="906"/>
      <c r="F154" s="906"/>
      <c r="G154" s="906"/>
      <c r="H154" s="906"/>
      <c r="I154" s="906"/>
      <c r="J154" s="906"/>
      <c r="K154" s="906"/>
      <c r="L154" s="906"/>
      <c r="M154" s="906"/>
    </row>
    <row r="155" spans="1:13">
      <c r="A155" s="128" t="s">
        <v>181</v>
      </c>
    </row>
    <row r="156" spans="1:13" ht="15" customHeight="1">
      <c r="A156" s="128" t="s">
        <v>181</v>
      </c>
      <c r="C156" s="739"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740"/>
      <c r="E156" s="740"/>
      <c r="F156" s="740"/>
      <c r="G156" s="740"/>
      <c r="H156" s="740"/>
      <c r="I156" s="740"/>
      <c r="J156" s="740"/>
      <c r="K156" s="740"/>
      <c r="L156" s="740"/>
      <c r="M156" s="741"/>
    </row>
    <row r="157" spans="1:13" ht="15" customHeight="1">
      <c r="A157" s="128" t="s">
        <v>181</v>
      </c>
      <c r="C157" s="742"/>
      <c r="D157" s="743"/>
      <c r="E157" s="743"/>
      <c r="F157" s="743"/>
      <c r="G157" s="743"/>
      <c r="H157" s="743"/>
      <c r="I157" s="743"/>
      <c r="J157" s="743"/>
      <c r="K157" s="743"/>
      <c r="L157" s="743"/>
      <c r="M157" s="744"/>
    </row>
    <row r="158" spans="1:13" ht="15" customHeight="1">
      <c r="A158" s="128" t="s">
        <v>181</v>
      </c>
      <c r="C158" s="742"/>
      <c r="D158" s="743"/>
      <c r="E158" s="743"/>
      <c r="F158" s="743"/>
      <c r="G158" s="743"/>
      <c r="H158" s="743"/>
      <c r="I158" s="743"/>
      <c r="J158" s="743"/>
      <c r="K158" s="743"/>
      <c r="L158" s="743"/>
      <c r="M158" s="744"/>
    </row>
    <row r="159" spans="1:13" ht="15" customHeight="1">
      <c r="A159" s="128" t="s">
        <v>181</v>
      </c>
      <c r="C159" s="742"/>
      <c r="D159" s="743"/>
      <c r="E159" s="743"/>
      <c r="F159" s="743"/>
      <c r="G159" s="743"/>
      <c r="H159" s="743"/>
      <c r="I159" s="743"/>
      <c r="J159" s="743"/>
      <c r="K159" s="743"/>
      <c r="L159" s="743"/>
      <c r="M159" s="744"/>
    </row>
    <row r="160" spans="1:13" ht="15" customHeight="1">
      <c r="A160" s="128" t="s">
        <v>181</v>
      </c>
      <c r="C160" s="742"/>
      <c r="D160" s="743"/>
      <c r="E160" s="743"/>
      <c r="F160" s="743"/>
      <c r="G160" s="743"/>
      <c r="H160" s="743"/>
      <c r="I160" s="743"/>
      <c r="J160" s="743"/>
      <c r="K160" s="743"/>
      <c r="L160" s="743"/>
      <c r="M160" s="744"/>
    </row>
    <row r="161" spans="1:13" ht="15" customHeight="1">
      <c r="A161" s="128" t="s">
        <v>181</v>
      </c>
      <c r="C161" s="742"/>
      <c r="D161" s="743"/>
      <c r="E161" s="743"/>
      <c r="F161" s="743"/>
      <c r="G161" s="743"/>
      <c r="H161" s="743"/>
      <c r="I161" s="743"/>
      <c r="J161" s="743"/>
      <c r="K161" s="743"/>
      <c r="L161" s="743"/>
      <c r="M161" s="744"/>
    </row>
    <row r="162" spans="1:13" ht="15" customHeight="1">
      <c r="A162" s="128" t="s">
        <v>181</v>
      </c>
      <c r="C162" s="742"/>
      <c r="D162" s="743"/>
      <c r="E162" s="743"/>
      <c r="F162" s="743"/>
      <c r="G162" s="743"/>
      <c r="H162" s="743"/>
      <c r="I162" s="743"/>
      <c r="J162" s="743"/>
      <c r="K162" s="743"/>
      <c r="L162" s="743"/>
      <c r="M162" s="744"/>
    </row>
    <row r="163" spans="1:13" ht="15" customHeight="1">
      <c r="A163" s="128" t="s">
        <v>181</v>
      </c>
      <c r="C163" s="742"/>
      <c r="D163" s="743"/>
      <c r="E163" s="743"/>
      <c r="F163" s="743"/>
      <c r="G163" s="743"/>
      <c r="H163" s="743"/>
      <c r="I163" s="743"/>
      <c r="J163" s="743"/>
      <c r="K163" s="743"/>
      <c r="L163" s="743"/>
      <c r="M163" s="744"/>
    </row>
    <row r="164" spans="1:13" ht="15" customHeight="1">
      <c r="A164" s="128" t="s">
        <v>181</v>
      </c>
      <c r="C164" s="742"/>
      <c r="D164" s="743"/>
      <c r="E164" s="743"/>
      <c r="F164" s="743"/>
      <c r="G164" s="743"/>
      <c r="H164" s="743"/>
      <c r="I164" s="743"/>
      <c r="J164" s="743"/>
      <c r="K164" s="743"/>
      <c r="L164" s="743"/>
      <c r="M164" s="744"/>
    </row>
    <row r="165" spans="1:13" ht="15" customHeight="1">
      <c r="A165" s="128" t="s">
        <v>181</v>
      </c>
      <c r="C165" s="742"/>
      <c r="D165" s="743"/>
      <c r="E165" s="743"/>
      <c r="F165" s="743"/>
      <c r="G165" s="743"/>
      <c r="H165" s="743"/>
      <c r="I165" s="743"/>
      <c r="J165" s="743"/>
      <c r="K165" s="743"/>
      <c r="L165" s="743"/>
      <c r="M165" s="744"/>
    </row>
    <row r="166" spans="1:13" ht="15" customHeight="1">
      <c r="A166" s="128" t="s">
        <v>181</v>
      </c>
      <c r="C166" s="745"/>
      <c r="D166" s="746"/>
      <c r="E166" s="746"/>
      <c r="F166" s="746"/>
      <c r="G166" s="746"/>
      <c r="H166" s="746"/>
      <c r="I166" s="746"/>
      <c r="J166" s="746"/>
      <c r="K166" s="746"/>
      <c r="L166" s="746"/>
      <c r="M166" s="747"/>
    </row>
    <row r="167" spans="1:13">
      <c r="A167" s="128" t="s">
        <v>181</v>
      </c>
    </row>
    <row r="168" spans="1:13" ht="15.75" thickBot="1">
      <c r="A168" s="128" t="s">
        <v>181</v>
      </c>
    </row>
    <row r="169" spans="1:13" ht="15.75" customHeight="1" thickBot="1">
      <c r="A169" s="128" t="s">
        <v>181</v>
      </c>
      <c r="C169" s="841" t="str">
        <f>Translation!B192</f>
        <v>Table 2: CIE Parameters for the Selection of M Lighting Class</v>
      </c>
      <c r="D169" s="842"/>
      <c r="E169" s="842"/>
      <c r="F169" s="842"/>
      <c r="G169" s="842"/>
      <c r="H169" s="842"/>
      <c r="I169" s="843"/>
    </row>
    <row r="170" spans="1:13" ht="15" customHeight="1">
      <c r="A170" s="128" t="s">
        <v>181</v>
      </c>
      <c r="C170" s="831" t="str">
        <f>Translation!B177</f>
        <v>Parameter</v>
      </c>
      <c r="D170" s="832"/>
      <c r="E170" s="901" t="str">
        <f>Translation!B174</f>
        <v>Options</v>
      </c>
      <c r="F170" s="902"/>
      <c r="G170" s="832"/>
      <c r="H170" s="826" t="str">
        <f>Translation!B207</f>
        <v>Weighting Value Vw</v>
      </c>
      <c r="I170" s="899" t="str">
        <f>Translation!B206</f>
        <v>Vw Selected</v>
      </c>
    </row>
    <row r="171" spans="1:13" ht="15.75" customHeight="1" thickBot="1">
      <c r="A171" s="128" t="s">
        <v>181</v>
      </c>
      <c r="C171" s="796"/>
      <c r="D171" s="797"/>
      <c r="E171" s="903"/>
      <c r="F171" s="904"/>
      <c r="G171" s="797"/>
      <c r="H171" s="827"/>
      <c r="I171" s="900"/>
    </row>
    <row r="172" spans="1:13" ht="15" customHeight="1">
      <c r="A172" s="128" t="s">
        <v>181</v>
      </c>
      <c r="C172" s="782" t="str">
        <f>Translation!B188</f>
        <v>Speed</v>
      </c>
      <c r="D172" s="783"/>
      <c r="E172" s="833" t="str">
        <f>Translation!B202</f>
        <v>Very High</v>
      </c>
      <c r="F172" s="834"/>
      <c r="G172" s="835"/>
      <c r="H172" s="234">
        <v>1</v>
      </c>
      <c r="I172" s="836"/>
    </row>
    <row r="173" spans="1:13" ht="15" customHeight="1">
      <c r="A173" s="128" t="s">
        <v>181</v>
      </c>
      <c r="C173" s="798"/>
      <c r="D173" s="799"/>
      <c r="E173" s="780" t="str">
        <f>Translation!B150</f>
        <v>High</v>
      </c>
      <c r="F173" s="800"/>
      <c r="G173" s="781"/>
      <c r="H173" s="235">
        <v>0.5</v>
      </c>
      <c r="I173" s="844"/>
    </row>
    <row r="174" spans="1:13" ht="15.75" customHeight="1" thickBot="1">
      <c r="A174" s="128" t="s">
        <v>181</v>
      </c>
      <c r="C174" s="784"/>
      <c r="D174" s="785"/>
      <c r="E174" s="789" t="str">
        <f>Translation!B168</f>
        <v>Moderate</v>
      </c>
      <c r="F174" s="790"/>
      <c r="G174" s="791"/>
      <c r="H174" s="236">
        <v>0</v>
      </c>
      <c r="I174" s="837"/>
    </row>
    <row r="175" spans="1:13" ht="15" customHeight="1">
      <c r="A175" s="128" t="s">
        <v>181</v>
      </c>
      <c r="C175" s="782" t="str">
        <f>Translation!B198</f>
        <v>Traffic Volume</v>
      </c>
      <c r="D175" s="783"/>
      <c r="E175" s="786" t="s">
        <v>138</v>
      </c>
      <c r="F175" s="787"/>
      <c r="G175" s="788"/>
      <c r="H175" s="234">
        <v>1</v>
      </c>
      <c r="I175" s="836"/>
    </row>
    <row r="176" spans="1:13" ht="15" customHeight="1">
      <c r="A176" s="128" t="s">
        <v>181</v>
      </c>
      <c r="C176" s="798"/>
      <c r="D176" s="799"/>
      <c r="E176" s="780" t="str">
        <f>Translation!B150</f>
        <v>High</v>
      </c>
      <c r="F176" s="800"/>
      <c r="G176" s="781"/>
      <c r="H176" s="235">
        <v>0.5</v>
      </c>
      <c r="I176" s="844"/>
    </row>
    <row r="177" spans="1:9" ht="15" customHeight="1">
      <c r="A177" s="128" t="s">
        <v>181</v>
      </c>
      <c r="C177" s="798"/>
      <c r="D177" s="799"/>
      <c r="E177" s="780" t="str">
        <f>Translation!B168</f>
        <v>Moderate</v>
      </c>
      <c r="F177" s="800"/>
      <c r="G177" s="781"/>
      <c r="H177" s="235">
        <v>0</v>
      </c>
      <c r="I177" s="844"/>
    </row>
    <row r="178" spans="1:9" ht="15" customHeight="1">
      <c r="A178" s="128" t="s">
        <v>181</v>
      </c>
      <c r="C178" s="798"/>
      <c r="D178" s="799"/>
      <c r="E178" s="780" t="str">
        <f>Translation!B160</f>
        <v>Low</v>
      </c>
      <c r="F178" s="800"/>
      <c r="G178" s="781"/>
      <c r="H178" s="235">
        <v>-0.5</v>
      </c>
      <c r="I178" s="844"/>
    </row>
    <row r="179" spans="1:9" ht="15.75" customHeight="1" thickBot="1">
      <c r="A179" s="128" t="s">
        <v>181</v>
      </c>
      <c r="C179" s="784"/>
      <c r="D179" s="785"/>
      <c r="E179" s="789" t="str">
        <f>Translation!B203</f>
        <v>Very Low</v>
      </c>
      <c r="F179" s="790"/>
      <c r="G179" s="791"/>
      <c r="H179" s="236">
        <v>-1</v>
      </c>
      <c r="I179" s="837"/>
    </row>
    <row r="180" spans="1:9" ht="15" customHeight="1">
      <c r="A180" s="128" t="s">
        <v>181</v>
      </c>
      <c r="C180" s="782" t="str">
        <f>Translation!B197</f>
        <v>Traffic Composition</v>
      </c>
      <c r="D180" s="783"/>
      <c r="E180" s="823" t="str">
        <f>Translation!B167</f>
        <v>Mixed with high % non motorized</v>
      </c>
      <c r="F180" s="824"/>
      <c r="G180" s="825"/>
      <c r="H180" s="234">
        <v>2</v>
      </c>
      <c r="I180" s="836"/>
    </row>
    <row r="181" spans="1:9" ht="15" customHeight="1">
      <c r="A181" s="128" t="s">
        <v>181</v>
      </c>
      <c r="C181" s="798"/>
      <c r="D181" s="799"/>
      <c r="E181" s="780" t="str">
        <f>Translation!B166</f>
        <v>Mixed</v>
      </c>
      <c r="F181" s="800"/>
      <c r="G181" s="781"/>
      <c r="H181" s="235">
        <v>1</v>
      </c>
      <c r="I181" s="844"/>
    </row>
    <row r="182" spans="1:9" ht="15.75" customHeight="1" thickBot="1">
      <c r="A182" s="128" t="s">
        <v>181</v>
      </c>
      <c r="C182" s="784"/>
      <c r="D182" s="785"/>
      <c r="E182" s="789" t="str">
        <f>Translation!B170</f>
        <v>Motorized only</v>
      </c>
      <c r="F182" s="790"/>
      <c r="G182" s="791"/>
      <c r="H182" s="236">
        <v>0</v>
      </c>
      <c r="I182" s="837"/>
    </row>
    <row r="183" spans="1:9" ht="15" customHeight="1">
      <c r="A183" s="128" t="s">
        <v>181</v>
      </c>
      <c r="C183" s="829" t="str">
        <f>Translation!B187</f>
        <v xml:space="preserve">Separation of carriageways
</v>
      </c>
      <c r="D183" s="812"/>
      <c r="E183" s="786" t="str">
        <f>Translation!B171</f>
        <v>No</v>
      </c>
      <c r="F183" s="787"/>
      <c r="G183" s="788"/>
      <c r="H183" s="234">
        <v>1</v>
      </c>
      <c r="I183" s="836"/>
    </row>
    <row r="184" spans="1:9" ht="15.75" customHeight="1" thickBot="1">
      <c r="A184" s="128" t="s">
        <v>181</v>
      </c>
      <c r="C184" s="830"/>
      <c r="D184" s="816"/>
      <c r="E184" s="789" t="str">
        <f>Translation!B209</f>
        <v>Yes</v>
      </c>
      <c r="F184" s="790"/>
      <c r="G184" s="791"/>
      <c r="H184" s="236">
        <v>0</v>
      </c>
      <c r="I184" s="837"/>
    </row>
    <row r="185" spans="1:9" ht="15" customHeight="1">
      <c r="A185" s="128" t="s">
        <v>181</v>
      </c>
      <c r="C185" s="782" t="str">
        <f>Translation!B157</f>
        <v>Intersection density</v>
      </c>
      <c r="D185" s="783"/>
      <c r="E185" s="786" t="str">
        <f>Translation!B150</f>
        <v>High</v>
      </c>
      <c r="F185" s="787"/>
      <c r="G185" s="788"/>
      <c r="H185" s="234">
        <v>1</v>
      </c>
      <c r="I185" s="836"/>
    </row>
    <row r="186" spans="1:9" ht="15.75" customHeight="1" thickBot="1">
      <c r="A186" s="128" t="s">
        <v>181</v>
      </c>
      <c r="C186" s="784"/>
      <c r="D186" s="785"/>
      <c r="E186" s="789" t="str">
        <f>Translation!B168</f>
        <v>Moderate</v>
      </c>
      <c r="F186" s="790"/>
      <c r="G186" s="791"/>
      <c r="H186" s="236">
        <v>0</v>
      </c>
      <c r="I186" s="837"/>
    </row>
    <row r="187" spans="1:9" ht="15" customHeight="1">
      <c r="A187" s="128" t="s">
        <v>181</v>
      </c>
      <c r="C187" s="782" t="str">
        <f>Translation!B178</f>
        <v>Parked Vehicles</v>
      </c>
      <c r="D187" s="783"/>
      <c r="E187" s="786" t="str">
        <f>Translation!B182</f>
        <v>Present</v>
      </c>
      <c r="F187" s="787"/>
      <c r="G187" s="788"/>
      <c r="H187" s="237">
        <v>0.5</v>
      </c>
      <c r="I187" s="836"/>
    </row>
    <row r="188" spans="1:9" ht="15.75" customHeight="1" thickBot="1">
      <c r="A188" s="128" t="s">
        <v>181</v>
      </c>
      <c r="C188" s="784"/>
      <c r="D188" s="785"/>
      <c r="E188" s="789" t="str">
        <f>Translation!B172</f>
        <v>Not present</v>
      </c>
      <c r="F188" s="790"/>
      <c r="G188" s="791"/>
      <c r="H188" s="238">
        <v>0</v>
      </c>
      <c r="I188" s="837"/>
    </row>
    <row r="189" spans="1:9" ht="15" customHeight="1">
      <c r="A189" s="128" t="s">
        <v>181</v>
      </c>
      <c r="C189" s="782" t="str">
        <f>Translation!B139</f>
        <v>Ambient luminance</v>
      </c>
      <c r="D189" s="783"/>
      <c r="E189" s="786" t="str">
        <f>Translation!B150</f>
        <v>High</v>
      </c>
      <c r="F189" s="787"/>
      <c r="G189" s="788"/>
      <c r="H189" s="234">
        <v>1</v>
      </c>
      <c r="I189" s="836"/>
    </row>
    <row r="190" spans="1:9" ht="15" customHeight="1">
      <c r="A190" s="128" t="s">
        <v>181</v>
      </c>
      <c r="C190" s="798"/>
      <c r="D190" s="799"/>
      <c r="E190" s="780" t="str">
        <f>Translation!B168</f>
        <v>Moderate</v>
      </c>
      <c r="F190" s="800"/>
      <c r="G190" s="781"/>
      <c r="H190" s="235">
        <v>0</v>
      </c>
      <c r="I190" s="844"/>
    </row>
    <row r="191" spans="1:9" ht="15.75" customHeight="1" thickBot="1">
      <c r="A191" s="128" t="s">
        <v>181</v>
      </c>
      <c r="C191" s="784"/>
      <c r="D191" s="785"/>
      <c r="E191" s="789" t="str">
        <f>Translation!B160</f>
        <v>Low</v>
      </c>
      <c r="F191" s="790"/>
      <c r="G191" s="791"/>
      <c r="H191" s="236">
        <v>-1</v>
      </c>
      <c r="I191" s="837"/>
    </row>
    <row r="192" spans="1:9" ht="15" customHeight="1">
      <c r="A192" s="128" t="s">
        <v>181</v>
      </c>
      <c r="C192" s="895" t="str">
        <f>Translation!B205</f>
        <v>Visual guidance/ traffic control</v>
      </c>
      <c r="D192" s="896"/>
      <c r="E192" s="786" t="str">
        <f>Translation!B181</f>
        <v>Poor</v>
      </c>
      <c r="F192" s="787"/>
      <c r="G192" s="788"/>
      <c r="H192" s="234">
        <v>0.5</v>
      </c>
      <c r="I192" s="836"/>
    </row>
    <row r="193" spans="1:14" ht="15.75" customHeight="1" thickBot="1">
      <c r="A193" s="128" t="s">
        <v>181</v>
      </c>
      <c r="C193" s="897"/>
      <c r="D193" s="898"/>
      <c r="E193" s="789" t="str">
        <f>Translation!B169</f>
        <v>Moderate or Good</v>
      </c>
      <c r="F193" s="790"/>
      <c r="G193" s="791"/>
      <c r="H193" s="236">
        <v>0</v>
      </c>
      <c r="I193" s="837"/>
      <c r="K193" s="739" t="str">
        <f>Translation!B195</f>
        <v xml:space="preserve">The lighting class is calculated as: 
M = 6 - Vws
This calculation will result in a class number between 1 and 6.  If the result is not a whole number, use the next lower whole number.  
</v>
      </c>
      <c r="L193" s="740"/>
      <c r="M193" s="740"/>
      <c r="N193" s="741"/>
    </row>
    <row r="194" spans="1:14" ht="15" customHeight="1">
      <c r="A194" s="128" t="s">
        <v>181</v>
      </c>
      <c r="H194" s="750" t="str">
        <f>Translation!B291</f>
        <v>Sum of Weighting Values (Vws)</v>
      </c>
      <c r="I194" s="753">
        <f>SUM(I172:I193)</f>
        <v>0</v>
      </c>
      <c r="K194" s="742"/>
      <c r="L194" s="743"/>
      <c r="M194" s="743"/>
      <c r="N194" s="744"/>
    </row>
    <row r="195" spans="1:14" ht="15" customHeight="1">
      <c r="A195" s="128" t="s">
        <v>181</v>
      </c>
      <c r="H195" s="751"/>
      <c r="I195" s="754"/>
      <c r="K195" s="742"/>
      <c r="L195" s="743"/>
      <c r="M195" s="743"/>
      <c r="N195" s="744"/>
    </row>
    <row r="196" spans="1:14" ht="15" customHeight="1">
      <c r="A196" s="128" t="s">
        <v>181</v>
      </c>
      <c r="H196" s="751"/>
      <c r="I196" s="754"/>
      <c r="K196" s="742"/>
      <c r="L196" s="743"/>
      <c r="M196" s="743"/>
      <c r="N196" s="744"/>
    </row>
    <row r="197" spans="1:14" ht="15" customHeight="1">
      <c r="A197" s="128" t="s">
        <v>181</v>
      </c>
      <c r="H197" s="752"/>
      <c r="I197" s="755"/>
      <c r="K197" s="742"/>
      <c r="L197" s="743"/>
      <c r="M197" s="743"/>
      <c r="N197" s="744"/>
    </row>
    <row r="198" spans="1:14" ht="15.75" customHeight="1" thickBot="1">
      <c r="A198" s="128" t="s">
        <v>181</v>
      </c>
      <c r="H198" s="239" t="str">
        <f>Translation!B290</f>
        <v>Class</v>
      </c>
      <c r="I198" s="653" t="str">
        <f>"M"&amp;FLOOR(6-I194,1)</f>
        <v>M6</v>
      </c>
      <c r="K198" s="745"/>
      <c r="L198" s="746"/>
      <c r="M198" s="746"/>
      <c r="N198" s="747"/>
    </row>
    <row r="199" spans="1:14">
      <c r="A199" s="128" t="s">
        <v>181</v>
      </c>
    </row>
    <row r="200" spans="1:14" ht="15.75" thickBot="1">
      <c r="A200" s="128" t="s">
        <v>181</v>
      </c>
    </row>
    <row r="201" spans="1:14" ht="15.75" customHeight="1" thickBot="1">
      <c r="A201" s="128" t="s">
        <v>181</v>
      </c>
      <c r="C201" s="889" t="str">
        <f>Translation!B193</f>
        <v>Table 3: CIE Lighting classes for motorized traffic</v>
      </c>
      <c r="D201" s="890"/>
      <c r="E201" s="890"/>
      <c r="F201" s="890"/>
      <c r="G201" s="890"/>
      <c r="H201" s="890"/>
      <c r="I201" s="891"/>
    </row>
    <row r="202" spans="1:14" ht="15.75" customHeight="1" thickBot="1">
      <c r="A202" s="128" t="s">
        <v>181</v>
      </c>
      <c r="C202" s="892" t="str">
        <f>Translation!B158</f>
        <v>Lighting class</v>
      </c>
      <c r="D202" s="756" t="str">
        <f>Translation!B185</f>
        <v>Road Surface</v>
      </c>
      <c r="E202" s="757"/>
      <c r="F202" s="757"/>
      <c r="G202" s="758"/>
      <c r="H202" s="759" t="str">
        <f>Translation!B196</f>
        <v>Threshold increment</v>
      </c>
      <c r="I202" s="759" t="str">
        <f>Translation!B190</f>
        <v>Surround ratio</v>
      </c>
    </row>
    <row r="203" spans="1:14" ht="15.75" customHeight="1" thickBot="1">
      <c r="A203" s="128" t="s">
        <v>181</v>
      </c>
      <c r="C203" s="893"/>
      <c r="D203" s="756" t="str">
        <f>Translation!B146</f>
        <v>Dry</v>
      </c>
      <c r="E203" s="757"/>
      <c r="F203" s="758"/>
      <c r="G203" s="595" t="str">
        <f>Translation!B208</f>
        <v>Wet*</v>
      </c>
      <c r="H203" s="760"/>
      <c r="I203" s="760"/>
    </row>
    <row r="204" spans="1:14" ht="15" customHeight="1">
      <c r="A204" s="128" t="s">
        <v>181</v>
      </c>
      <c r="C204" s="893"/>
      <c r="D204" s="763" t="s">
        <v>184</v>
      </c>
      <c r="E204" s="765" t="s">
        <v>1788</v>
      </c>
      <c r="F204" s="767" t="s">
        <v>169</v>
      </c>
      <c r="G204" s="769" t="s">
        <v>168</v>
      </c>
      <c r="H204" s="748" t="s">
        <v>170</v>
      </c>
      <c r="I204" s="748" t="s">
        <v>171</v>
      </c>
    </row>
    <row r="205" spans="1:14" ht="15.75" customHeight="1" thickBot="1">
      <c r="A205" s="128" t="s">
        <v>181</v>
      </c>
      <c r="C205" s="894"/>
      <c r="D205" s="764"/>
      <c r="E205" s="766"/>
      <c r="F205" s="768"/>
      <c r="G205" s="770"/>
      <c r="H205" s="749"/>
      <c r="I205" s="749"/>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908" t="str">
        <f>Translation!B214</f>
        <v>CIE Classification Definitions</v>
      </c>
      <c r="D214" s="909"/>
      <c r="E214" s="909"/>
      <c r="F214" s="909"/>
      <c r="G214" s="909"/>
      <c r="H214" s="909"/>
      <c r="I214" s="910"/>
    </row>
    <row r="215" spans="1:9">
      <c r="A215" s="128" t="s">
        <v>181</v>
      </c>
      <c r="C215" s="886" t="str">
        <f>Translation!B215</f>
        <v>Average Luminance of the Road Surface (Lav)</v>
      </c>
      <c r="D215" s="887"/>
      <c r="E215" s="887"/>
      <c r="F215" s="887"/>
      <c r="G215" s="887"/>
      <c r="H215" s="887"/>
      <c r="I215" s="888"/>
    </row>
    <row r="216" spans="1:9" ht="61.5" customHeight="1">
      <c r="A216" s="128" t="s">
        <v>181</v>
      </c>
      <c r="C216" s="883"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884"/>
      <c r="E216" s="884"/>
      <c r="F216" s="884"/>
      <c r="G216" s="884"/>
      <c r="H216" s="884"/>
      <c r="I216" s="885"/>
    </row>
    <row r="217" spans="1:9" ht="61.5" customHeight="1">
      <c r="A217" s="128" t="s">
        <v>181</v>
      </c>
      <c r="C217" s="883" t="str">
        <f>Translation!B217</f>
        <v>The calculation of the average luminance of the road surface should be carried out in accordance with CIE 140-2000.</v>
      </c>
      <c r="D217" s="884"/>
      <c r="E217" s="884"/>
      <c r="F217" s="884"/>
      <c r="G217" s="884"/>
      <c r="H217" s="884"/>
      <c r="I217" s="885"/>
    </row>
    <row r="218" spans="1:9">
      <c r="A218" s="128" t="s">
        <v>181</v>
      </c>
      <c r="C218" s="886" t="str">
        <f>Translation!B218</f>
        <v xml:space="preserve">Overall uniformity of Road Luminance (U0) </v>
      </c>
      <c r="D218" s="887"/>
      <c r="E218" s="887"/>
      <c r="F218" s="887"/>
      <c r="G218" s="887"/>
      <c r="H218" s="887"/>
      <c r="I218" s="888"/>
    </row>
    <row r="219" spans="1:9" ht="85.5" customHeight="1">
      <c r="A219" s="128" t="s">
        <v>181</v>
      </c>
      <c r="C219" s="911"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912"/>
      <c r="E219" s="912"/>
      <c r="F219" s="912"/>
      <c r="G219" s="912"/>
      <c r="H219" s="912"/>
      <c r="I219" s="913"/>
    </row>
    <row r="220" spans="1:9">
      <c r="A220" s="128" t="s">
        <v>181</v>
      </c>
      <c r="C220" s="886" t="str">
        <f>Translation!B220</f>
        <v xml:space="preserve">Longitudinal Uniformity of Road Surface Luminance (Ul): </v>
      </c>
      <c r="D220" s="887"/>
      <c r="E220" s="887"/>
      <c r="F220" s="887"/>
      <c r="G220" s="887"/>
      <c r="H220" s="887"/>
      <c r="I220" s="888"/>
    </row>
    <row r="221" spans="1:9" ht="105.75" customHeight="1">
      <c r="A221" s="128" t="s">
        <v>181</v>
      </c>
      <c r="C221" s="883"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884"/>
      <c r="E221" s="884"/>
      <c r="F221" s="884"/>
      <c r="G221" s="884"/>
      <c r="H221" s="884"/>
      <c r="I221" s="885"/>
    </row>
    <row r="222" spans="1:9">
      <c r="A222" s="128" t="s">
        <v>181</v>
      </c>
      <c r="C222" s="886" t="str">
        <f>Translation!B222</f>
        <v>Threshold Increment TI (fTI)</v>
      </c>
      <c r="D222" s="887"/>
      <c r="E222" s="887"/>
      <c r="F222" s="887"/>
      <c r="G222" s="887"/>
      <c r="H222" s="887"/>
      <c r="I222" s="888"/>
    </row>
    <row r="223" spans="1:9" ht="58.5" customHeight="1">
      <c r="A223" s="128" t="s">
        <v>181</v>
      </c>
      <c r="C223" s="883" t="str">
        <f>Translation!B223</f>
        <v>TI is a measure of the loss of visibility caused by the disability glare from the road lighting luminaires.  The formula from which it is calculated is given in CIE 140-2000.</v>
      </c>
      <c r="D223" s="884"/>
      <c r="E223" s="884"/>
      <c r="F223" s="884"/>
      <c r="G223" s="884"/>
      <c r="H223" s="884"/>
      <c r="I223" s="885"/>
    </row>
    <row r="224" spans="1:9">
      <c r="A224" s="128" t="s">
        <v>181</v>
      </c>
      <c r="C224" s="886" t="str">
        <f>Translation!B224</f>
        <v>Surround Ratio SR (Rs)</v>
      </c>
      <c r="D224" s="887"/>
      <c r="E224" s="887"/>
      <c r="F224" s="887"/>
      <c r="G224" s="887"/>
      <c r="H224" s="887"/>
      <c r="I224" s="888"/>
    </row>
    <row r="225" spans="1:9" ht="58.5" customHeight="1">
      <c r="A225" s="128" t="s">
        <v>181</v>
      </c>
      <c r="C225" s="883"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884"/>
      <c r="E225" s="884"/>
      <c r="F225" s="884"/>
      <c r="G225" s="884"/>
      <c r="H225" s="884"/>
      <c r="I225" s="885"/>
    </row>
    <row r="226" spans="1:9" ht="30.75" customHeight="1">
      <c r="A226" s="128" t="s">
        <v>181</v>
      </c>
      <c r="C226" s="880" t="str">
        <f>Translation!B226</f>
        <v>Surround ratio is defined in CIE 140-2000.</v>
      </c>
      <c r="D226" s="881"/>
      <c r="E226" s="881"/>
      <c r="F226" s="881"/>
      <c r="G226" s="881"/>
      <c r="H226" s="881"/>
      <c r="I226" s="882"/>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E84:F84"/>
    <mergeCell ref="G84:H84"/>
    <mergeCell ref="I84:J84"/>
    <mergeCell ref="K84:L84"/>
    <mergeCell ref="M84:N84"/>
    <mergeCell ref="E85:F85"/>
    <mergeCell ref="G85:H85"/>
    <mergeCell ref="I85:J85"/>
    <mergeCell ref="K85:L85"/>
    <mergeCell ref="M85:N85"/>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61:F61"/>
    <mergeCell ref="E65:F65"/>
    <mergeCell ref="E60:F60"/>
    <mergeCell ref="G58:G59"/>
    <mergeCell ref="H58:H59"/>
    <mergeCell ref="I58:I59"/>
    <mergeCell ref="J60:K60"/>
    <mergeCell ref="J63:K63"/>
    <mergeCell ref="J62:K62"/>
    <mergeCell ref="L70:M70"/>
    <mergeCell ref="L71:M71"/>
    <mergeCell ref="L60:M60"/>
    <mergeCell ref="L65:M65"/>
    <mergeCell ref="L64:M64"/>
    <mergeCell ref="J70:K70"/>
    <mergeCell ref="J68:K68"/>
    <mergeCell ref="J64:K64"/>
    <mergeCell ref="J69:K69"/>
    <mergeCell ref="L69:M69"/>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90" zoomScaleNormal="90" workbookViewId="0">
      <selection activeCell="B17" sqref="B17"/>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38</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5"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5"/>
      <c r="D6" s="735"/>
      <c r="E6" s="735"/>
      <c r="F6" s="735"/>
      <c r="G6" s="735"/>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20" t="str">
        <f>Translation!B548</f>
        <v>Select one of the fixtures from the list below. To edit the fixture assumptions, find the fixture in the table below</v>
      </c>
      <c r="C14" s="920"/>
      <c r="E14" s="919" t="str">
        <f>Translation!B549</f>
        <v>Baseline Fixture Summary</v>
      </c>
      <c r="F14" s="919"/>
      <c r="G14" s="919"/>
    </row>
    <row r="15" spans="1:27" ht="27" customHeight="1">
      <c r="B15" s="921"/>
      <c r="C15" s="921"/>
    </row>
    <row r="16" spans="1:27" ht="18.75" customHeight="1">
      <c r="B16" s="299" t="str">
        <f>tBaseline</f>
        <v>Baseline</v>
      </c>
      <c r="C16" s="634"/>
      <c r="E16" s="530" t="str">
        <f>Translation!$B$111</f>
        <v>Fixture Name</v>
      </c>
      <c r="F16" s="532" t="str">
        <f>FixtureData!$B$18</f>
        <v>&lt;No Fixture&gt;</v>
      </c>
    </row>
    <row r="17" spans="2:11" ht="18.75" customHeight="1">
      <c r="B17" s="636"/>
      <c r="C17" s="637"/>
      <c r="E17" s="530" t="str">
        <f>Translation!$B$234</f>
        <v>Manufacturer</v>
      </c>
      <c r="F17" s="532" t="str">
        <f>INDEX(FixtureManuf,FixtureData!$C$18)</f>
        <v>No fixture</v>
      </c>
    </row>
    <row r="18" spans="2:11" ht="18.75" customHeight="1">
      <c r="B18" s="638"/>
      <c r="C18" s="639"/>
      <c r="E18" s="530" t="str">
        <f>Translation!$B$101</f>
        <v>Type</v>
      </c>
      <c r="F18" s="532" t="str">
        <f>INDEX(FixtureType,FixtureData!$C$18)</f>
        <v>HPS</v>
      </c>
    </row>
    <row r="19" spans="2:11" ht="18.75" customHeight="1">
      <c r="B19" s="638"/>
      <c r="C19" s="639"/>
      <c r="E19" s="530" t="str">
        <f>Translation!$B$235</f>
        <v>Model #</v>
      </c>
      <c r="F19" s="532">
        <f>INDEX(FixtureModel,FixtureData!$C$18)</f>
        <v>0</v>
      </c>
    </row>
    <row r="20" spans="2:11" ht="21.75" customHeight="1">
      <c r="B20" s="638"/>
      <c r="C20" s="639"/>
      <c r="E20" s="530" t="str">
        <f>Translation!$B$230</f>
        <v>Distribution Type</v>
      </c>
      <c r="F20" s="532">
        <f>INDEX(FixtureDist,FixtureData!$C$18)</f>
        <v>0</v>
      </c>
    </row>
    <row r="21" spans="2:11" ht="18.75" customHeight="1">
      <c r="B21" s="638"/>
      <c r="C21" s="639"/>
      <c r="E21" s="530" t="str">
        <f>Translation!$B$229</f>
        <v>Comments</v>
      </c>
      <c r="F21" s="532">
        <f>IF(ISBLANK(INDEX(FixtureComments,FixtureData!$C$18)),"",INDEX(FixtureComments,FixtureData!$C$18))</f>
        <v>0</v>
      </c>
    </row>
    <row r="22" spans="2:11" ht="17.25" customHeight="1">
      <c r="B22" s="529" t="str">
        <f>Translation!B579</f>
        <v>Set installation cost to zero?</v>
      </c>
      <c r="C22" s="640"/>
      <c r="E22" s="530" t="str">
        <f>Translation!$B$102</f>
        <v>Watts</v>
      </c>
      <c r="F22" s="532">
        <f>FixtureData!G18</f>
        <v>0</v>
      </c>
    </row>
    <row r="23" spans="2:11" ht="18.75" customHeight="1">
      <c r="B23" s="36" t="s">
        <v>3341</v>
      </c>
      <c r="C23" s="527" t="str">
        <f>Translation!B395</f>
        <v>Fixture already installed (mark with 'x')</v>
      </c>
      <c r="E23" s="530" t="str">
        <f>Translation!$B$352</f>
        <v>Equipment Cost ($/fixture)</v>
      </c>
      <c r="F23" s="668">
        <f>FixtureData!K18</f>
        <v>0</v>
      </c>
    </row>
    <row r="24" spans="2:11" ht="24.75" customHeight="1">
      <c r="B24" s="915" t="str">
        <f>Translation!B394</f>
        <v xml:space="preserve">If the fixture is already installed, installation cost will be zero. Instead of editing this in the large table below, you can override the values for just the baseline fixture here. </v>
      </c>
      <c r="C24" s="916"/>
      <c r="E24" s="530" t="str">
        <f>Translation!$B$324</f>
        <v>Installation Cost ($/fixture)</v>
      </c>
      <c r="F24" s="668">
        <f>FixtureData!L18</f>
        <v>0</v>
      </c>
    </row>
    <row r="25" spans="2:11" ht="24.75" customHeight="1">
      <c r="B25" s="915"/>
      <c r="C25" s="916"/>
      <c r="E25" s="530" t="str">
        <f>Translation!$B$354</f>
        <v>One-time Rebate or Subsidy ($/fixture)</v>
      </c>
      <c r="F25" s="668">
        <f>FixtureData!M18</f>
        <v>0</v>
      </c>
      <c r="H25" s="641"/>
      <c r="I25" s="642"/>
      <c r="J25" s="643"/>
      <c r="K25" s="643"/>
    </row>
    <row r="26" spans="2:11" ht="24.75" customHeight="1">
      <c r="B26" s="917"/>
      <c r="C26" s="918"/>
      <c r="E26" s="531" t="str">
        <f>Translation!$B$356</f>
        <v>Annual Maintenance Cost ($/year)</v>
      </c>
      <c r="F26" s="668">
        <f>FixtureData!N18</f>
        <v>0</v>
      </c>
      <c r="H26" s="641"/>
      <c r="I26" s="642"/>
      <c r="J26" s="643"/>
      <c r="K26" s="643"/>
    </row>
    <row r="27" spans="2:11" ht="18.75" customHeight="1">
      <c r="E27" s="530" t="str">
        <f>Translation!$B$358</f>
        <v>Maintenance inflation rate (%/year)</v>
      </c>
      <c r="F27" s="533">
        <f>FixtureData!O18</f>
        <v>0</v>
      </c>
      <c r="H27" s="641"/>
      <c r="I27" s="641"/>
      <c r="J27" s="641"/>
      <c r="K27" s="641"/>
    </row>
    <row r="28" spans="2:11" ht="18.75" customHeight="1">
      <c r="E28" s="531" t="str">
        <f>Translation!$B$95</f>
        <v>Total Light Loss Factor</v>
      </c>
      <c r="F28" s="534">
        <f>FixtureData!H18</f>
        <v>0</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row>
    <row r="49" spans="1:20">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row>
    <row r="50" spans="1:20">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row>
    <row r="51" spans="1:20">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row>
    <row r="52" spans="1:20">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row>
    <row r="53" spans="1:20">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row>
    <row r="54" spans="1:20">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row>
    <row r="55" spans="1:20">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row>
    <row r="56" spans="1:20">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row>
    <row r="57" spans="1:20">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row>
    <row r="58" spans="1:20">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row>
    <row r="59" spans="1:20">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row>
    <row r="60" spans="1:20">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row>
    <row r="61" spans="1:20">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row>
    <row r="62" spans="1:20">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row>
    <row r="63" spans="1:20">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row>
    <row r="64" spans="1:20">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row>
    <row r="65" spans="1:20">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row>
    <row r="66" spans="1:20">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row>
    <row r="67" spans="1:20">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row>
    <row r="68" spans="1:20">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row>
    <row r="69" spans="1:20">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row>
    <row r="70" spans="1:20">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row>
    <row r="71" spans="1:20">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row>
    <row r="72" spans="1:20">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row>
    <row r="73" spans="1:20">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row>
    <row r="74" spans="1:20">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0</v>
      </c>
    </row>
  </sheetData>
  <mergeCells count="4">
    <mergeCell ref="B6:G6"/>
    <mergeCell ref="B24:C26"/>
    <mergeCell ref="E14:G14"/>
    <mergeCell ref="B14:C15"/>
  </mergeCells>
  <conditionalFormatting sqref="C38:H74">
    <cfRule type="expression" dxfId="17" priority="2647" stopIfTrue="1">
      <formula>$B38="x"</formula>
    </cfRule>
  </conditionalFormatting>
  <conditionalFormatting sqref="K39:K74">
    <cfRule type="expression" dxfId="16" priority="1398" stopIfTrue="1">
      <formula>K39&lt;&gt;IF(F39="LED",LEDcost,IF(F39="HPS",HPScost,MHcost))</formula>
    </cfRule>
  </conditionalFormatting>
  <conditionalFormatting sqref="L39:L74">
    <cfRule type="expression" dxfId="15" priority="1397" stopIfTrue="1">
      <formula>L39&lt;&gt;IF($F39="LED",LEDinstcost,IF(OR($F39="HPS",$F39="SAP",$F39="SHP"),HPSinstcost,MHinstcost))</formula>
    </cfRule>
  </conditionalFormatting>
  <conditionalFormatting sqref="N39:N41 N43:N74">
    <cfRule type="expression" dxfId="14" priority="1395" stopIfTrue="1">
      <formula>N39&lt;&gt;IF($F39="LED",LEDmaintcost,IF($F39="HPS",HPSmaintcost,MHmaintcost))</formula>
    </cfRule>
  </conditionalFormatting>
  <conditionalFormatting sqref="O39:O41 O43:O74">
    <cfRule type="expression" dxfId="13" priority="1394" stopIfTrue="1">
      <formula>O39&lt;&gt;IF($F39="LED",LEDmaintinflate,IF($F39="HPS",HPSmaintinflate,MHmaintinflate))</formula>
    </cfRule>
  </conditionalFormatting>
  <conditionalFormatting sqref="P39:P74">
    <cfRule type="expression" dxfId="12" priority="1393" stopIfTrue="1">
      <formula>P39&lt;&gt;IF($F39="LED",LEDLLD,IF($F39="HPS",HPSLLD,MHLLD))</formula>
    </cfRule>
  </conditionalFormatting>
  <conditionalFormatting sqref="Q39:Q74">
    <cfRule type="expression" dxfId="11" priority="1392" stopIfTrue="1">
      <formula>Q39&lt;&gt;IF($F39="LED",LEDDD,IF($F39="HPS",HPSDD,MHDD))</formula>
    </cfRule>
  </conditionalFormatting>
  <conditionalFormatting sqref="R39:R74">
    <cfRule type="expression" dxfId="10" priority="1391" stopIfTrue="1">
      <formula>R39&lt;&gt;IF($F39="LED",LEDBF,IF($F39="HPS",HPSBF,MHBF))</formula>
    </cfRule>
  </conditionalFormatting>
  <conditionalFormatting sqref="N42">
    <cfRule type="expression" dxfId="9" priority="589" stopIfTrue="1">
      <formula>N42&lt;&gt;IF($F42="LED",LEDmaintcost,IF($F42="HPS",HPSmaintcost,MHmaintcost))</formula>
    </cfRule>
  </conditionalFormatting>
  <conditionalFormatting sqref="O42">
    <cfRule type="expression" dxfId="8" priority="588" stopIfTrue="1">
      <formula>O42&lt;&gt;IF($F42="LED",LEDmaintinflate,IF($F42="HPS",HPSmaintinflate,MHmaintinflate))</formula>
    </cfRule>
  </conditionalFormatting>
  <conditionalFormatting sqref="T39:T74">
    <cfRule type="expression" dxfId="7" priority="149" stopIfTrue="1">
      <formula>T39&lt;&gt;0</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5"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5"/>
      <c r="D7" s="735"/>
      <c r="E7" s="735"/>
      <c r="F7" s="735"/>
      <c r="G7" s="735"/>
      <c r="H7" s="735"/>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2"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2"/>
      <c r="D14" s="922"/>
      <c r="E14" s="922"/>
      <c r="F14" s="922"/>
      <c r="G14" s="922"/>
      <c r="H14" s="922"/>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&lt;No Fixture&gt;</v>
      </c>
      <c r="C17" s="588">
        <f ca="1">FixtureData!G18</f>
        <v>0</v>
      </c>
      <c r="D17" s="670">
        <f>FixtureData!K18</f>
        <v>0</v>
      </c>
      <c r="E17" s="670">
        <f>FixtureData!L18</f>
        <v>0</v>
      </c>
      <c r="F17" s="670">
        <f>FixtureData!M18</f>
        <v>0</v>
      </c>
      <c r="G17" s="670">
        <f ca="1">FixtureData!N18</f>
        <v>0</v>
      </c>
      <c r="H17" s="589">
        <f ca="1">FixtureData!O18</f>
        <v>0</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6" priority="2" stopIfTrue="1" operator="notEqual">
      <formula>""</formula>
    </cfRule>
  </conditionalFormatting>
  <conditionalFormatting sqref="A18:A142">
    <cfRule type="expression" dxfId="5"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2" sqref="D12"/>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2" t="str">
        <f>Translation!$B$544</f>
        <v>Review the inputs below to make sure you have entered all necessary values and the assumptions accurately reflect your road and fixtures.</v>
      </c>
      <c r="C7" s="922"/>
      <c r="D7" s="922"/>
      <c r="E7" s="922"/>
      <c r="F7" s="922"/>
      <c r="G7" s="922"/>
      <c r="H7" s="922"/>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x</v>
      </c>
      <c r="B13" s="558" t="str">
        <f>IF(A13="x",Translation!$B$542,Translation!$B$541)</f>
        <v>No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&lt;No Fixture&gt;</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No fixture</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f>Fixtures!F19</f>
        <v>0</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f>Fixtures!F21</f>
        <v>0</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t="str">
        <f t="array" aca="1" ref="D63" ca="1">IFERROR(
 INDEX(FixtureEqCosts,
  SMALL(
   IF(
    FixtureInclude="x",
    ROW(FixtureEqCosts)-ROW(Fixtures!$B$36)
   ),
   COLUMNS($D63:D63)
  )
 ),"")</f>
        <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t="str">
        <f t="array" aca="1" ref="D64" ca="1">IFERROR(
 INDEX(FixtureInstCosts,
  SMALL(
   IF(
    FixtureInclude="x",
    ROW(FixtureInstCosts)-ROW(Fixtures!$B$36)
   ),
   COLUMNS($D64:D64)
  )
 ),"")</f>
        <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t="str">
        <f t="array" aca="1" ref="D65" ca="1">IFERROR(
 INDEX(FixtureRebCosts,
  SMALL(
   IF(
    FixtureInclude="x",
    ROW(FixtureRebCosts)-ROW(Fixtures!$B$36)
   ),
   COLUMNS($D65:D65)
  )
 ),"")</f>
        <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0</v>
      </c>
      <c r="D66" s="671" t="str">
        <f t="array" aca="1" ref="D66" ca="1">IFERROR(
 INDEX(FixtureMaintCosts,
  SMALL(
   IF(
    FixtureInclude="x",
    ROW(FixtureMaintCosts)-ROW(Fixtures!$B$36)
   ),
   COLUMNS($D66:D66)
  )
 ),"")</f>
        <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4"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A10" workbookViewId="0"/>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737" t="str">
        <f>Translation!B365</f>
        <v>IES files describe the light output of a fixture. You can obtain them from fixture manufacturers</v>
      </c>
      <c r="B3" s="737"/>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23" t="str">
        <f>Translation!B512</f>
        <v>Required Inputs</v>
      </c>
      <c r="B15" s="924"/>
      <c r="C15" s="925"/>
      <c r="D15" s="926" t="str">
        <f>Translation!B505</f>
        <v>Optional Inputs</v>
      </c>
      <c r="E15" s="927"/>
      <c r="F15" s="927"/>
      <c r="G15" s="927"/>
      <c r="H15" s="927"/>
      <c r="I15" s="927"/>
      <c r="J15" s="927"/>
      <c r="K15" s="927"/>
      <c r="L15" s="928"/>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542</v>
      </c>
      <c r="B17" s="506"/>
      <c r="C17" s="506"/>
      <c r="D17" s="489"/>
      <c r="E17" s="482"/>
      <c r="F17" s="482"/>
      <c r="G17" s="482"/>
      <c r="H17" s="482"/>
      <c r="I17" s="482"/>
      <c r="J17" s="482"/>
      <c r="K17" s="482"/>
      <c r="L17" s="482"/>
      <c r="M17" s="359" t="str">
        <f>Translation!B571</f>
        <v>Error log</v>
      </c>
    </row>
    <row r="18" spans="1:13" s="225" customFormat="1">
      <c r="A18" s="507" t="s">
        <v>540</v>
      </c>
      <c r="B18" s="508" t="s">
        <v>541</v>
      </c>
      <c r="C18" s="509" t="s">
        <v>330</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361"/>
    </row>
    <row r="21" spans="1:13">
      <c r="A21" s="364"/>
      <c r="C21" s="363"/>
    </row>
    <row r="22" spans="1:13">
      <c r="A22" s="364"/>
      <c r="C22" s="363"/>
    </row>
    <row r="23" spans="1:13">
      <c r="A23" s="364"/>
      <c r="C23" s="363"/>
    </row>
    <row r="24" spans="1:13">
      <c r="A24" s="364"/>
      <c r="C24" s="363"/>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10:B14 A1:B1 B37:B65536 B21:B24">
    <cfRule type="expression" dxfId="3" priority="27" stopIfTrue="1">
      <formula>COUNTIF(A:A,A1)&gt;1</formula>
    </cfRule>
  </conditionalFormatting>
  <conditionalFormatting sqref="B25:B28">
    <cfRule type="expression" dxfId="2" priority="19" stopIfTrue="1">
      <formula>COUNTIF(B:B,B25)&gt;1</formula>
    </cfRule>
  </conditionalFormatting>
  <conditionalFormatting sqref="B29:B32">
    <cfRule type="expression" dxfId="1" priority="18" stopIfTrue="1">
      <formula>COUNTIF(B:B,B29)&gt;1</formula>
    </cfRule>
  </conditionalFormatting>
  <conditionalFormatting sqref="B33:B36">
    <cfRule type="expression" dxfId="0" priority="17" stopIfTrue="1">
      <formula>COUNTIF(B:B,B33)&gt;1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R9" sqref="R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9</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e">
        <f ca="1">FxLib_Selectedfixture</f>
        <v>#REF!</v>
      </c>
      <c r="D3" s="27" t="e">
        <f ca="1">FixtureData!B9</f>
        <v>#REF!</v>
      </c>
      <c r="E3" s="27" t="e">
        <f ca="1">FixtureData!G6</f>
        <v>#REF!</v>
      </c>
      <c r="F3" s="89" t="e">
        <f ca="1">FixtureData!I6</f>
        <v>#REF!</v>
      </c>
      <c r="G3" s="89" t="e">
        <f ca="1">FixtureData!J6</f>
        <v>#REF!</v>
      </c>
      <c r="H3" s="384">
        <f>'Illuminance Calcs'!$C$4</f>
        <v>6.9510983701499311</v>
      </c>
      <c r="I3" s="384">
        <f>'Illuminance Calcs'!$C$5</f>
        <v>3.5417686856080124</v>
      </c>
      <c r="J3" s="384">
        <f>'Illuminance Calcs'!$C$6</f>
        <v>13.214870570893206</v>
      </c>
      <c r="K3" s="384">
        <f>'Illuminance Calcs'!$C$7</f>
        <v>0.509526480134048</v>
      </c>
      <c r="L3" s="306">
        <f>IF(FixtureData!$B$23="IES",'Lighting Standards'!$D$12,'Lighting Standards'!$H$12)</f>
        <v>0</v>
      </c>
      <c r="M3" s="384">
        <f>IF(FixtureData!$B$23="IES",'Lighting Standards'!$D$13,'Lighting Standards'!$H$13)</f>
        <v>0</v>
      </c>
      <c r="N3" s="82"/>
      <c r="O3" s="82"/>
      <c r="P3" s="28">
        <f>IF(iescieGraphChoice="IES",IF(AND(H3&gt;L3,K3&lt;M3),1,0),IF(AND(H3&gt;L3,K3&gt;M3),1,0))</f>
        <v>1</v>
      </c>
      <c r="Q3" s="82">
        <f>'Luminance Calcs'!$C$4</f>
        <v>0.44681078035770772</v>
      </c>
      <c r="R3" s="384">
        <f>'Luminance Calcs'!$C$5</f>
        <v>0.19938154825263635</v>
      </c>
      <c r="S3" s="384">
        <f>'Luminance Calcs'!$C$6</f>
        <v>0.66308798681159031</v>
      </c>
      <c r="T3" s="384">
        <f>'Luminance Calcs'!$C$7</f>
        <v>0.4462326269142734</v>
      </c>
      <c r="U3" s="384">
        <f>'Luminance Calcs'!$C$8</f>
        <v>0.81836447421022107</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1</v>
      </c>
      <c r="Z3" s="672" t="e">
        <f ca="1">CostCalcs!C46</f>
        <v>#REF!</v>
      </c>
      <c r="AA3" s="672" t="e">
        <f ca="1">CostCalcs!C47</f>
        <v>#REF!</v>
      </c>
      <c r="AB3" s="673"/>
      <c r="AC3" s="673"/>
      <c r="AD3" s="673"/>
      <c r="AE3" s="672" t="e">
        <f ca="1">CostCalcs!I23</f>
        <v>#REF!</v>
      </c>
      <c r="AF3" s="672" t="e">
        <f ca="1">CostCalcs!I24</f>
        <v>#REF!</v>
      </c>
      <c r="AG3" s="672" t="e">
        <f ca="1">CostCalcs!I25</f>
        <v>#REF!</v>
      </c>
      <c r="AH3" s="672" t="e">
        <f ca="1">CostCalcs!I26</f>
        <v>#REF!</v>
      </c>
      <c r="AI3" s="672" t="e">
        <f ca="1">CostCalcs!I27</f>
        <v>#REF!</v>
      </c>
      <c r="AJ3" s="672" t="e">
        <f ca="1">CostCalcs!I28</f>
        <v>#REF!</v>
      </c>
      <c r="AK3" s="672" t="e">
        <f ca="1">CostCalcs!I29</f>
        <v>#REF!</v>
      </c>
      <c r="AL3" s="672" t="e">
        <f ca="1">CostCalcs!I30</f>
        <v>#REF!</v>
      </c>
      <c r="AM3" s="672" t="e">
        <f ca="1">CostCalcs!I31</f>
        <v>#REF!</v>
      </c>
      <c r="AN3" s="672" t="e">
        <f ca="1">CostCalcs!I32</f>
        <v>#REF!</v>
      </c>
      <c r="AO3" s="672" t="e">
        <f ca="1">CostCalcs!I33</f>
        <v>#REF!</v>
      </c>
      <c r="AP3" s="672" t="e">
        <f ca="1">CostCalcs!I34</f>
        <v>#REF!</v>
      </c>
      <c r="AQ3" s="672" t="e">
        <f ca="1">CostCalcs!I35</f>
        <v>#REF!</v>
      </c>
      <c r="AR3" s="672" t="e">
        <f ca="1">CostCalcs!I36</f>
        <v>#REF!</v>
      </c>
      <c r="AS3" s="672" t="e">
        <f ca="1">CostCalcs!I37</f>
        <v>#REF!</v>
      </c>
      <c r="AT3" s="672" t="e">
        <f ca="1">CostCalcs!I38</f>
        <v>#REF!</v>
      </c>
      <c r="AU3" s="672" t="e">
        <f ca="1">CostCalcs!I39</f>
        <v>#REF!</v>
      </c>
      <c r="AV3" s="672" t="e">
        <f ca="1">CostCalcs!I40</f>
        <v>#REF!</v>
      </c>
      <c r="AW3" s="672" t="e">
        <f ca="1">CostCalcs!I41</f>
        <v>#REF!</v>
      </c>
      <c r="AX3" s="672" t="e">
        <f ca="1">CostCalcs!I42</f>
        <v>#REF!</v>
      </c>
      <c r="AY3" s="672" t="e">
        <f ca="1">CostCalcs!I43</f>
        <v>#REF!</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t="e">
        <f ca="1">IF(FixtureData!A6="Baseline",FixtureData!H18,IF(FixtureData!A6="Upgrade",FixtureData!H19,""))</f>
        <v>#REF!</v>
      </c>
    </row>
    <row r="4" spans="1:83" s="310" customFormat="1" ht="27.75" customHeight="1">
      <c r="B4" s="310" t="s">
        <v>22</v>
      </c>
      <c r="C4" s="310" t="s">
        <v>2777</v>
      </c>
      <c r="D4" s="310" t="s">
        <v>65</v>
      </c>
      <c r="E4" s="310">
        <v>34</v>
      </c>
      <c r="F4" s="311">
        <v>148.92000000000002</v>
      </c>
      <c r="G4" s="311">
        <v>4254.8571428571431</v>
      </c>
      <c r="H4" s="396">
        <v>4.3250632009644985</v>
      </c>
      <c r="I4" s="396">
        <v>2.8334624336022238</v>
      </c>
      <c r="J4" s="396">
        <v>5.8538670106767681</v>
      </c>
      <c r="K4" s="396">
        <v>0.65512624947777776</v>
      </c>
      <c r="L4" s="397">
        <v>6</v>
      </c>
      <c r="M4" s="396">
        <v>0.16666666666666666</v>
      </c>
      <c r="N4" s="312"/>
      <c r="O4" s="312"/>
      <c r="P4" s="310">
        <v>0</v>
      </c>
      <c r="Q4" s="312">
        <v>0.32741096559842942</v>
      </c>
      <c r="R4" s="312">
        <v>0.18784055729349358</v>
      </c>
      <c r="S4" s="312">
        <v>0.53587780470652469</v>
      </c>
      <c r="T4" s="312">
        <v>0.54170697621989183</v>
      </c>
      <c r="U4" s="312">
        <v>0.70764352208218684</v>
      </c>
      <c r="V4" s="310">
        <v>0.6</v>
      </c>
      <c r="W4" s="310">
        <v>0.3</v>
      </c>
      <c r="X4" s="310">
        <v>0.15</v>
      </c>
      <c r="Y4" s="310">
        <v>0</v>
      </c>
      <c r="Z4" s="688">
        <v>0</v>
      </c>
      <c r="AA4" s="688">
        <v>39.89</v>
      </c>
      <c r="AB4" s="674"/>
      <c r="AC4" s="674"/>
      <c r="AD4" s="674"/>
      <c r="AE4" s="688">
        <v>0</v>
      </c>
      <c r="AF4" s="688">
        <v>39.5</v>
      </c>
      <c r="AG4" s="688">
        <v>78.63</v>
      </c>
      <c r="AH4" s="688">
        <v>117.37</v>
      </c>
      <c r="AI4" s="688">
        <v>155.72999999999999</v>
      </c>
      <c r="AJ4" s="688">
        <v>193.73</v>
      </c>
      <c r="AK4" s="688">
        <v>231.35</v>
      </c>
      <c r="AL4" s="688">
        <v>268.61</v>
      </c>
      <c r="AM4" s="688">
        <v>305.5</v>
      </c>
      <c r="AN4" s="688">
        <v>342.04</v>
      </c>
      <c r="AO4" s="688">
        <v>378.23</v>
      </c>
      <c r="AP4" s="688">
        <v>414.06</v>
      </c>
      <c r="AQ4" s="688">
        <v>449.54</v>
      </c>
      <c r="AR4" s="688">
        <v>484.68</v>
      </c>
      <c r="AS4" s="688">
        <v>519.48</v>
      </c>
      <c r="AT4" s="688">
        <v>553.94000000000005</v>
      </c>
      <c r="AU4" s="688">
        <v>588.07000000000005</v>
      </c>
      <c r="AV4" s="688">
        <v>621.87</v>
      </c>
      <c r="AW4" s="688">
        <v>655.33000000000004</v>
      </c>
      <c r="AX4" s="688">
        <v>688.48</v>
      </c>
      <c r="AY4" s="688">
        <v>721.3</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1245</v>
      </c>
      <c r="BZ4" s="310">
        <v>10</v>
      </c>
      <c r="CA4" s="310">
        <v>35</v>
      </c>
      <c r="CB4" s="310">
        <v>2.5</v>
      </c>
      <c r="CC4" s="310">
        <v>3</v>
      </c>
      <c r="CE4" s="310">
        <v>0.61599999999999999</v>
      </c>
    </row>
    <row r="5" spans="1:83">
      <c r="B5" t="s">
        <v>1994</v>
      </c>
      <c r="C5" t="s">
        <v>3340</v>
      </c>
      <c r="D5" t="s">
        <v>65</v>
      </c>
      <c r="E5">
        <v>91</v>
      </c>
      <c r="F5" s="90">
        <v>398.58</v>
      </c>
      <c r="G5" s="90">
        <v>11388</v>
      </c>
      <c r="H5" s="398">
        <v>13.341418830469525</v>
      </c>
      <c r="I5" s="398">
        <v>8.153314451806823</v>
      </c>
      <c r="J5" s="398">
        <v>18.236146424906536</v>
      </c>
      <c r="K5" s="398">
        <v>0.61112798836552851</v>
      </c>
      <c r="L5" s="108">
        <v>6</v>
      </c>
      <c r="M5" s="398">
        <v>0.16666666666666666</v>
      </c>
      <c r="P5">
        <v>1</v>
      </c>
      <c r="Q5" s="83">
        <v>1.0243804180818261</v>
      </c>
      <c r="R5" s="83">
        <v>0.5887492614079517</v>
      </c>
      <c r="S5" s="341">
        <v>1.4508944259984293</v>
      </c>
      <c r="T5" s="83">
        <v>0.54794008459543142</v>
      </c>
      <c r="U5" s="341">
        <v>0.8484322542576278</v>
      </c>
      <c r="V5">
        <v>0.6</v>
      </c>
      <c r="W5">
        <v>0.3</v>
      </c>
      <c r="X5">
        <v>0.15</v>
      </c>
      <c r="Y5">
        <v>1</v>
      </c>
      <c r="Z5" s="689">
        <v>600</v>
      </c>
      <c r="AA5" s="689">
        <v>64.86</v>
      </c>
      <c r="AB5" s="689">
        <v>600</v>
      </c>
      <c r="AC5" s="689">
        <v>-24.86</v>
      </c>
      <c r="AD5" s="675">
        <v>-24.137098720733768</v>
      </c>
      <c r="AE5" s="689">
        <v>600</v>
      </c>
      <c r="AF5" s="689">
        <v>664.23</v>
      </c>
      <c r="AG5" s="689">
        <v>727.83</v>
      </c>
      <c r="AH5" s="689">
        <v>790.82</v>
      </c>
      <c r="AI5" s="689">
        <v>853.2</v>
      </c>
      <c r="AJ5" s="689">
        <v>914.97</v>
      </c>
      <c r="AK5" s="689">
        <v>976.14</v>
      </c>
      <c r="AL5" s="689">
        <v>1036.71</v>
      </c>
      <c r="AM5" s="689">
        <v>1096.7</v>
      </c>
      <c r="AN5" s="689">
        <v>1156.1099999999999</v>
      </c>
      <c r="AO5" s="689">
        <v>1214.94</v>
      </c>
      <c r="AP5" s="689">
        <v>1273.19</v>
      </c>
      <c r="AQ5" s="689">
        <v>1330.89</v>
      </c>
      <c r="AR5" s="689">
        <v>1388.02</v>
      </c>
      <c r="AS5" s="689">
        <v>1444.6</v>
      </c>
      <c r="AT5" s="689">
        <v>1500.63</v>
      </c>
      <c r="AU5" s="689">
        <v>1556.11</v>
      </c>
      <c r="AV5" s="689">
        <v>1611.06</v>
      </c>
      <c r="AW5" s="689">
        <v>1665.47</v>
      </c>
      <c r="AX5" s="689">
        <v>1719.35</v>
      </c>
      <c r="AY5" s="689">
        <v>1772.71</v>
      </c>
      <c r="AZ5" s="499" t="s">
        <v>1675</v>
      </c>
      <c r="BA5" s="499" t="s">
        <v>3367</v>
      </c>
      <c r="BB5" s="499" t="s">
        <v>3367</v>
      </c>
      <c r="BC5" s="499" t="s">
        <v>3367</v>
      </c>
      <c r="BD5" s="499" t="s">
        <v>3367</v>
      </c>
      <c r="BE5" s="499" t="s">
        <v>3367</v>
      </c>
      <c r="BF5" s="499" t="s">
        <v>3367</v>
      </c>
      <c r="BG5" s="499" t="s">
        <v>3367</v>
      </c>
      <c r="BH5" s="499" t="s">
        <v>3367</v>
      </c>
      <c r="BI5" s="499" t="s">
        <v>3367</v>
      </c>
      <c r="BJ5" s="499" t="s">
        <v>3367</v>
      </c>
      <c r="BK5" s="499" t="s">
        <v>3367</v>
      </c>
      <c r="BL5" s="499" t="s">
        <v>3367</v>
      </c>
      <c r="BM5" s="499" t="s">
        <v>3367</v>
      </c>
      <c r="BN5" s="499" t="s">
        <v>3367</v>
      </c>
      <c r="BO5" s="499" t="s">
        <v>3367</v>
      </c>
      <c r="BP5" s="499" t="s">
        <v>3367</v>
      </c>
      <c r="BQ5" s="499" t="s">
        <v>3367</v>
      </c>
      <c r="BR5" s="499" t="s">
        <v>3367</v>
      </c>
      <c r="BS5" s="499" t="s">
        <v>3367</v>
      </c>
      <c r="BT5" s="86">
        <v>28.571428571428573</v>
      </c>
      <c r="BU5">
        <v>4</v>
      </c>
      <c r="BV5">
        <v>4</v>
      </c>
      <c r="BX5">
        <v>1</v>
      </c>
      <c r="BY5" t="s">
        <v>1245</v>
      </c>
      <c r="BZ5">
        <v>10</v>
      </c>
      <c r="CA5">
        <v>35</v>
      </c>
      <c r="CB5">
        <v>2.5</v>
      </c>
      <c r="CC5">
        <v>3</v>
      </c>
      <c r="CE5">
        <v>0.69000000000000006</v>
      </c>
    </row>
    <row r="6" spans="1:83">
      <c r="B6" t="s">
        <v>3348</v>
      </c>
      <c r="C6" t="s">
        <v>3344</v>
      </c>
      <c r="D6" t="s">
        <v>65</v>
      </c>
      <c r="E6">
        <v>91</v>
      </c>
      <c r="F6" s="90">
        <v>398.58</v>
      </c>
      <c r="G6" s="90">
        <v>11388</v>
      </c>
      <c r="H6" s="398">
        <v>12.987963135087163</v>
      </c>
      <c r="I6" s="398">
        <v>7.8493488281255841</v>
      </c>
      <c r="J6" s="398">
        <v>17.645694789138208</v>
      </c>
      <c r="K6" s="398">
        <v>0.60435564425960364</v>
      </c>
      <c r="L6" s="108">
        <v>6</v>
      </c>
      <c r="M6" s="398">
        <v>0.16666666666666666</v>
      </c>
      <c r="P6">
        <v>1</v>
      </c>
      <c r="Q6" s="83">
        <v>0.96318424721276996</v>
      </c>
      <c r="R6" s="83">
        <v>0.54588105929191799</v>
      </c>
      <c r="S6" s="83">
        <v>1.3519523963458977</v>
      </c>
      <c r="T6" s="83">
        <v>0.55699628420863168</v>
      </c>
      <c r="U6" s="341">
        <v>0.88657757557143346</v>
      </c>
      <c r="V6">
        <v>0.6</v>
      </c>
      <c r="W6">
        <v>0.3</v>
      </c>
      <c r="X6">
        <v>0.15</v>
      </c>
      <c r="Y6">
        <v>1</v>
      </c>
      <c r="Z6" s="80">
        <v>600</v>
      </c>
      <c r="AA6" s="80">
        <v>64.86</v>
      </c>
      <c r="AB6" s="80">
        <v>600</v>
      </c>
      <c r="AC6" s="80">
        <v>-24.86</v>
      </c>
      <c r="AD6" s="337">
        <v>-24.137098720733768</v>
      </c>
      <c r="AE6" s="80">
        <v>600</v>
      </c>
      <c r="AF6" s="80">
        <v>664.23</v>
      </c>
      <c r="AG6" s="80">
        <v>727.83</v>
      </c>
      <c r="AH6" s="80">
        <v>790.82</v>
      </c>
      <c r="AI6" s="80">
        <v>853.2</v>
      </c>
      <c r="AJ6" s="80">
        <v>914.97</v>
      </c>
      <c r="AK6" s="80">
        <v>976.14</v>
      </c>
      <c r="AL6" s="80">
        <v>1036.71</v>
      </c>
      <c r="AM6" s="80">
        <v>1096.7</v>
      </c>
      <c r="AN6" s="80">
        <v>1156.1099999999999</v>
      </c>
      <c r="AO6" s="80">
        <v>1214.94</v>
      </c>
      <c r="AP6" s="80">
        <v>1273.19</v>
      </c>
      <c r="AQ6" s="80">
        <v>1330.89</v>
      </c>
      <c r="AR6" s="80">
        <v>1388.02</v>
      </c>
      <c r="AS6" s="80">
        <v>1444.6</v>
      </c>
      <c r="AT6" s="80">
        <v>1500.63</v>
      </c>
      <c r="AU6" s="80">
        <v>1556.11</v>
      </c>
      <c r="AV6" s="80">
        <v>1611.06</v>
      </c>
      <c r="AW6" s="80">
        <v>1665.47</v>
      </c>
      <c r="AX6" s="80">
        <v>1719.35</v>
      </c>
      <c r="AY6" s="80">
        <v>1772.71</v>
      </c>
      <c r="AZ6" s="499" t="s">
        <v>1675</v>
      </c>
      <c r="BA6" s="499" t="s">
        <v>3367</v>
      </c>
      <c r="BB6" s="499" t="s">
        <v>3367</v>
      </c>
      <c r="BC6" s="499" t="s">
        <v>3367</v>
      </c>
      <c r="BD6" s="499" t="s">
        <v>3367</v>
      </c>
      <c r="BE6" s="499" t="s">
        <v>3367</v>
      </c>
      <c r="BF6" s="499" t="s">
        <v>3367</v>
      </c>
      <c r="BG6" s="499" t="s">
        <v>3367</v>
      </c>
      <c r="BH6" s="499" t="s">
        <v>3367</v>
      </c>
      <c r="BI6" s="499" t="s">
        <v>3367</v>
      </c>
      <c r="BJ6" s="499" t="s">
        <v>3367</v>
      </c>
      <c r="BK6" s="499" t="s">
        <v>3367</v>
      </c>
      <c r="BL6" s="499" t="s">
        <v>3367</v>
      </c>
      <c r="BM6" s="499" t="s">
        <v>3367</v>
      </c>
      <c r="BN6" s="499" t="s">
        <v>3367</v>
      </c>
      <c r="BO6" s="499" t="s">
        <v>3367</v>
      </c>
      <c r="BP6" s="499" t="s">
        <v>3367</v>
      </c>
      <c r="BQ6" s="499" t="s">
        <v>3367</v>
      </c>
      <c r="BR6" s="499" t="s">
        <v>3367</v>
      </c>
      <c r="BS6" s="499" t="s">
        <v>3367</v>
      </c>
      <c r="BT6" s="86">
        <v>28.571428571428573</v>
      </c>
      <c r="BU6">
        <v>4</v>
      </c>
      <c r="BV6">
        <v>4</v>
      </c>
      <c r="BX6">
        <v>1</v>
      </c>
      <c r="BY6" t="s">
        <v>1245</v>
      </c>
      <c r="BZ6">
        <v>10</v>
      </c>
      <c r="CA6">
        <v>35</v>
      </c>
      <c r="CB6">
        <v>2.5</v>
      </c>
      <c r="CC6">
        <v>3</v>
      </c>
      <c r="CE6">
        <v>0.69000000000000006</v>
      </c>
    </row>
    <row r="7" spans="1:83">
      <c r="B7" t="s">
        <v>3349</v>
      </c>
      <c r="C7" t="s">
        <v>3345</v>
      </c>
      <c r="D7" t="s">
        <v>65</v>
      </c>
      <c r="E7">
        <v>91</v>
      </c>
      <c r="F7" s="90">
        <v>398.58</v>
      </c>
      <c r="G7" s="90">
        <v>11388</v>
      </c>
      <c r="H7" s="398">
        <v>11.602414100488641</v>
      </c>
      <c r="I7" s="398">
        <v>6.6933405717067913</v>
      </c>
      <c r="J7" s="398">
        <v>16.83804353754439</v>
      </c>
      <c r="K7" s="398">
        <v>0.57689206002610249</v>
      </c>
      <c r="L7" s="108">
        <v>6</v>
      </c>
      <c r="M7" s="398">
        <v>0.16666666666666666</v>
      </c>
      <c r="P7">
        <v>1</v>
      </c>
      <c r="Q7" s="83">
        <v>0.83923708087311732</v>
      </c>
      <c r="R7" s="83">
        <v>0.39502215218253039</v>
      </c>
      <c r="S7" s="83">
        <v>1.2119606768439832</v>
      </c>
      <c r="T7" s="83">
        <v>0.4670682432587086</v>
      </c>
      <c r="U7" s="341">
        <v>0.91408539817118784</v>
      </c>
      <c r="V7">
        <v>0.6</v>
      </c>
      <c r="W7">
        <v>0.3</v>
      </c>
      <c r="X7" s="366">
        <v>0.15</v>
      </c>
      <c r="Y7">
        <v>1</v>
      </c>
      <c r="Z7" s="80">
        <v>600</v>
      </c>
      <c r="AA7" s="80">
        <v>64.86</v>
      </c>
      <c r="AB7" s="80">
        <v>600</v>
      </c>
      <c r="AC7" s="80">
        <v>-24.86</v>
      </c>
      <c r="AD7" s="337">
        <v>-24.137098720733768</v>
      </c>
      <c r="AE7" s="80">
        <v>600</v>
      </c>
      <c r="AF7" s="80">
        <v>664.23</v>
      </c>
      <c r="AG7" s="80">
        <v>727.83</v>
      </c>
      <c r="AH7" s="80">
        <v>790.82</v>
      </c>
      <c r="AI7" s="80">
        <v>853.2</v>
      </c>
      <c r="AJ7" s="80">
        <v>914.97</v>
      </c>
      <c r="AK7" s="80">
        <v>976.14</v>
      </c>
      <c r="AL7" s="80">
        <v>1036.71</v>
      </c>
      <c r="AM7" s="80">
        <v>1096.7</v>
      </c>
      <c r="AN7" s="80">
        <v>1156.1099999999999</v>
      </c>
      <c r="AO7" s="80">
        <v>1214.94</v>
      </c>
      <c r="AP7" s="80">
        <v>1273.19</v>
      </c>
      <c r="AQ7" s="80">
        <v>1330.89</v>
      </c>
      <c r="AR7" s="80">
        <v>1388.02</v>
      </c>
      <c r="AS7" s="80">
        <v>1444.6</v>
      </c>
      <c r="AT7" s="80">
        <v>1500.63</v>
      </c>
      <c r="AU7" s="80">
        <v>1556.11</v>
      </c>
      <c r="AV7" s="80">
        <v>1611.06</v>
      </c>
      <c r="AW7" s="80">
        <v>1665.47</v>
      </c>
      <c r="AX7" s="80">
        <v>1719.35</v>
      </c>
      <c r="AY7" s="80">
        <v>1772.71</v>
      </c>
      <c r="AZ7" s="499" t="s">
        <v>1675</v>
      </c>
      <c r="BA7" s="499" t="s">
        <v>3367</v>
      </c>
      <c r="BB7" s="499" t="s">
        <v>3367</v>
      </c>
      <c r="BC7" s="499" t="s">
        <v>3367</v>
      </c>
      <c r="BD7" s="499" t="s">
        <v>3367</v>
      </c>
      <c r="BE7" s="499" t="s">
        <v>3367</v>
      </c>
      <c r="BF7" s="499" t="s">
        <v>3367</v>
      </c>
      <c r="BG7" s="499" t="s">
        <v>3367</v>
      </c>
      <c r="BH7" s="499" t="s">
        <v>3367</v>
      </c>
      <c r="BI7" s="499" t="s">
        <v>3367</v>
      </c>
      <c r="BJ7" s="499" t="s">
        <v>3367</v>
      </c>
      <c r="BK7" s="499" t="s">
        <v>3367</v>
      </c>
      <c r="BL7" s="499" t="s">
        <v>3367</v>
      </c>
      <c r="BM7" s="499" t="s">
        <v>3367</v>
      </c>
      <c r="BN7" s="499" t="s">
        <v>3367</v>
      </c>
      <c r="BO7" s="499" t="s">
        <v>3367</v>
      </c>
      <c r="BP7" s="499" t="s">
        <v>3367</v>
      </c>
      <c r="BQ7" s="499" t="s">
        <v>3367</v>
      </c>
      <c r="BR7" s="499" t="s">
        <v>3367</v>
      </c>
      <c r="BS7" s="499" t="s">
        <v>3367</v>
      </c>
      <c r="BT7" s="86">
        <v>28.571428571428573</v>
      </c>
      <c r="BU7">
        <v>4</v>
      </c>
      <c r="BV7">
        <v>4</v>
      </c>
      <c r="BX7">
        <v>1</v>
      </c>
      <c r="BY7" t="s">
        <v>1245</v>
      </c>
      <c r="BZ7">
        <v>10</v>
      </c>
      <c r="CA7">
        <v>35</v>
      </c>
      <c r="CB7">
        <v>2.5</v>
      </c>
      <c r="CC7">
        <v>3</v>
      </c>
      <c r="CE7">
        <v>0.69000000000000006</v>
      </c>
    </row>
    <row r="8" spans="1:83">
      <c r="B8" t="s">
        <v>3350</v>
      </c>
      <c r="C8" t="s">
        <v>3346</v>
      </c>
      <c r="D8" t="s">
        <v>65</v>
      </c>
      <c r="E8">
        <v>91</v>
      </c>
      <c r="F8" s="90">
        <v>398.58</v>
      </c>
      <c r="G8" s="90">
        <v>11388</v>
      </c>
      <c r="H8" s="398">
        <v>9.5155561831243993</v>
      </c>
      <c r="I8" s="398">
        <v>4.8027411393091652</v>
      </c>
      <c r="J8" s="398">
        <v>15.471580001952908</v>
      </c>
      <c r="K8" s="398">
        <v>0.50472521488830113</v>
      </c>
      <c r="L8" s="108">
        <v>6</v>
      </c>
      <c r="M8" s="398">
        <v>0.16666666666666666</v>
      </c>
      <c r="P8">
        <v>1</v>
      </c>
      <c r="Q8" s="83">
        <v>0.67300469032282573</v>
      </c>
      <c r="R8" s="83">
        <v>0.27257196783618093</v>
      </c>
      <c r="S8" s="83">
        <v>1.0189270851673826</v>
      </c>
      <c r="T8" s="83">
        <v>0.40500753078768897</v>
      </c>
      <c r="U8" s="341">
        <v>0.8256714424415581</v>
      </c>
      <c r="V8">
        <v>0.6</v>
      </c>
      <c r="W8">
        <v>0.3</v>
      </c>
      <c r="X8" s="356">
        <v>0.15</v>
      </c>
      <c r="Y8">
        <v>1</v>
      </c>
      <c r="Z8" s="80">
        <v>600</v>
      </c>
      <c r="AA8" s="80">
        <v>64.86</v>
      </c>
      <c r="AB8" s="80">
        <v>600</v>
      </c>
      <c r="AC8" s="80">
        <v>-24.86</v>
      </c>
      <c r="AD8" s="336">
        <v>-24.137098720733768</v>
      </c>
      <c r="AE8" s="80">
        <v>600</v>
      </c>
      <c r="AF8" s="80">
        <v>664.23</v>
      </c>
      <c r="AG8" s="80">
        <v>727.83</v>
      </c>
      <c r="AH8" s="80">
        <v>790.82</v>
      </c>
      <c r="AI8" s="80">
        <v>853.2</v>
      </c>
      <c r="AJ8" s="80">
        <v>914.97</v>
      </c>
      <c r="AK8" s="80">
        <v>976.14</v>
      </c>
      <c r="AL8" s="80">
        <v>1036.71</v>
      </c>
      <c r="AM8" s="80">
        <v>1096.7</v>
      </c>
      <c r="AN8" s="80">
        <v>1156.1099999999999</v>
      </c>
      <c r="AO8" s="80">
        <v>1214.94</v>
      </c>
      <c r="AP8" s="80">
        <v>1273.19</v>
      </c>
      <c r="AQ8" s="80">
        <v>1330.89</v>
      </c>
      <c r="AR8" s="80">
        <v>1388.02</v>
      </c>
      <c r="AS8" s="80">
        <v>1444.6</v>
      </c>
      <c r="AT8" s="80">
        <v>1500.63</v>
      </c>
      <c r="AU8" s="80">
        <v>1556.11</v>
      </c>
      <c r="AV8" s="80">
        <v>1611.06</v>
      </c>
      <c r="AW8" s="80">
        <v>1665.47</v>
      </c>
      <c r="AX8" s="80">
        <v>1719.35</v>
      </c>
      <c r="AY8" s="80">
        <v>1772.71</v>
      </c>
      <c r="AZ8" s="499" t="s">
        <v>1675</v>
      </c>
      <c r="BA8" s="499" t="s">
        <v>3367</v>
      </c>
      <c r="BB8" s="499" t="s">
        <v>3367</v>
      </c>
      <c r="BC8" s="499" t="s">
        <v>3367</v>
      </c>
      <c r="BD8" s="499" t="s">
        <v>3367</v>
      </c>
      <c r="BE8" s="499" t="s">
        <v>3367</v>
      </c>
      <c r="BF8" s="499" t="s">
        <v>3367</v>
      </c>
      <c r="BG8" s="499" t="s">
        <v>3367</v>
      </c>
      <c r="BH8" s="499" t="s">
        <v>3367</v>
      </c>
      <c r="BI8" s="499" t="s">
        <v>3367</v>
      </c>
      <c r="BJ8" s="499" t="s">
        <v>3367</v>
      </c>
      <c r="BK8" s="499" t="s">
        <v>3367</v>
      </c>
      <c r="BL8" s="499" t="s">
        <v>3367</v>
      </c>
      <c r="BM8" s="499" t="s">
        <v>3367</v>
      </c>
      <c r="BN8" s="499" t="s">
        <v>3367</v>
      </c>
      <c r="BO8" s="499" t="s">
        <v>3367</v>
      </c>
      <c r="BP8" s="499" t="s">
        <v>3367</v>
      </c>
      <c r="BQ8" s="499" t="s">
        <v>3367</v>
      </c>
      <c r="BR8" s="499" t="s">
        <v>3367</v>
      </c>
      <c r="BS8" s="499" t="s">
        <v>3367</v>
      </c>
      <c r="BT8" s="86">
        <v>28.571428571428573</v>
      </c>
      <c r="BU8">
        <v>4</v>
      </c>
      <c r="BV8">
        <v>4</v>
      </c>
      <c r="BX8">
        <v>1</v>
      </c>
      <c r="BY8" t="s">
        <v>1245</v>
      </c>
      <c r="BZ8">
        <v>10</v>
      </c>
      <c r="CA8">
        <v>35</v>
      </c>
      <c r="CB8">
        <v>2.5</v>
      </c>
      <c r="CC8">
        <v>3</v>
      </c>
      <c r="CE8">
        <v>0.69000000000000006</v>
      </c>
    </row>
    <row r="9" spans="1:83">
      <c r="B9" t="s">
        <v>3351</v>
      </c>
      <c r="C9" t="s">
        <v>3347</v>
      </c>
      <c r="D9" t="s">
        <v>65</v>
      </c>
      <c r="E9">
        <v>91</v>
      </c>
      <c r="F9" s="90">
        <v>398.58</v>
      </c>
      <c r="G9" s="90">
        <v>11388</v>
      </c>
      <c r="H9" s="398">
        <v>6.9510983701499311</v>
      </c>
      <c r="I9" s="398">
        <v>3.5417686856080124</v>
      </c>
      <c r="J9" s="398">
        <v>13.214870570893206</v>
      </c>
      <c r="K9" s="398">
        <v>0.509526480134048</v>
      </c>
      <c r="L9" s="108">
        <v>6</v>
      </c>
      <c r="M9" s="398">
        <v>0.16666666666666666</v>
      </c>
      <c r="P9">
        <v>1</v>
      </c>
      <c r="Q9" s="83">
        <v>0.44681078035770772</v>
      </c>
      <c r="R9" s="83">
        <v>0.19938154825263635</v>
      </c>
      <c r="S9" s="83">
        <v>0.66308798681159031</v>
      </c>
      <c r="T9" s="83">
        <v>0.4462326269142734</v>
      </c>
      <c r="U9" s="341">
        <v>0.81836447421022107</v>
      </c>
      <c r="V9">
        <v>0.6</v>
      </c>
      <c r="W9">
        <v>0.3</v>
      </c>
      <c r="X9">
        <v>0.15</v>
      </c>
      <c r="Y9">
        <v>0</v>
      </c>
      <c r="Z9" s="80">
        <v>600</v>
      </c>
      <c r="AA9" s="80">
        <v>64.86</v>
      </c>
      <c r="AB9" s="80">
        <v>600</v>
      </c>
      <c r="AC9" s="80">
        <v>-24.86</v>
      </c>
      <c r="AD9" s="336">
        <v>-24.137098720733768</v>
      </c>
      <c r="AE9" s="80">
        <v>600</v>
      </c>
      <c r="AF9" s="80">
        <v>664.23</v>
      </c>
      <c r="AG9" s="80">
        <v>727.83</v>
      </c>
      <c r="AH9" s="80">
        <v>790.82</v>
      </c>
      <c r="AI9" s="80">
        <v>853.2</v>
      </c>
      <c r="AJ9" s="80">
        <v>914.97</v>
      </c>
      <c r="AK9" s="80">
        <v>976.14</v>
      </c>
      <c r="AL9" s="80">
        <v>1036.71</v>
      </c>
      <c r="AM9" s="80">
        <v>1096.7</v>
      </c>
      <c r="AN9" s="80">
        <v>1156.1099999999999</v>
      </c>
      <c r="AO9" s="80">
        <v>1214.94</v>
      </c>
      <c r="AP9" s="80">
        <v>1273.19</v>
      </c>
      <c r="AQ9" s="80">
        <v>1330.89</v>
      </c>
      <c r="AR9" s="80">
        <v>1388.02</v>
      </c>
      <c r="AS9" s="80">
        <v>1444.6</v>
      </c>
      <c r="AT9" s="80">
        <v>1500.63</v>
      </c>
      <c r="AU9" s="80">
        <v>1556.11</v>
      </c>
      <c r="AV9" s="80">
        <v>1611.06</v>
      </c>
      <c r="AW9" s="80">
        <v>1665.47</v>
      </c>
      <c r="AX9" s="80">
        <v>1719.35</v>
      </c>
      <c r="AY9" s="80">
        <v>1772.71</v>
      </c>
      <c r="AZ9" s="499" t="s">
        <v>1675</v>
      </c>
      <c r="BA9" s="499" t="s">
        <v>3367</v>
      </c>
      <c r="BB9" s="499" t="s">
        <v>3367</v>
      </c>
      <c r="BC9" s="499" t="s">
        <v>3367</v>
      </c>
      <c r="BD9" s="499" t="s">
        <v>3367</v>
      </c>
      <c r="BE9" s="499" t="s">
        <v>3367</v>
      </c>
      <c r="BF9" s="499" t="s">
        <v>3367</v>
      </c>
      <c r="BG9" s="499" t="s">
        <v>3367</v>
      </c>
      <c r="BH9" s="499" t="s">
        <v>3367</v>
      </c>
      <c r="BI9" s="499" t="s">
        <v>3367</v>
      </c>
      <c r="BJ9" s="499" t="s">
        <v>3367</v>
      </c>
      <c r="BK9" s="499" t="s">
        <v>3367</v>
      </c>
      <c r="BL9" s="499" t="s">
        <v>3367</v>
      </c>
      <c r="BM9" s="499" t="s">
        <v>3367</v>
      </c>
      <c r="BN9" s="499" t="s">
        <v>3367</v>
      </c>
      <c r="BO9" s="499" t="s">
        <v>3367</v>
      </c>
      <c r="BP9" s="499" t="s">
        <v>3367</v>
      </c>
      <c r="BQ9" s="499" t="s">
        <v>3367</v>
      </c>
      <c r="BR9" s="499" t="s">
        <v>3367</v>
      </c>
      <c r="BS9" s="499" t="s">
        <v>3367</v>
      </c>
      <c r="BT9" s="86">
        <v>28.571428571428573</v>
      </c>
      <c r="BU9">
        <v>4</v>
      </c>
      <c r="BV9">
        <v>4</v>
      </c>
      <c r="BX9">
        <v>1</v>
      </c>
      <c r="BY9" t="s">
        <v>1245</v>
      </c>
      <c r="BZ9">
        <v>10</v>
      </c>
      <c r="CA9">
        <v>35</v>
      </c>
      <c r="CB9">
        <v>2.5</v>
      </c>
      <c r="CC9">
        <v>3</v>
      </c>
      <c r="CE9">
        <v>0.69000000000000006</v>
      </c>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3368</v>
      </c>
      <c r="B1" s="365" t="s">
        <v>1786</v>
      </c>
    </row>
    <row r="2" spans="1:2">
      <c r="A2" s="294" t="s">
        <v>3380</v>
      </c>
      <c r="B2" s="365" t="s">
        <v>1787</v>
      </c>
    </row>
    <row r="14" spans="1:2" ht="15.75" thickBot="1">
      <c r="A14" s="352" t="str">
        <f>Translation!B101</f>
        <v>Type</v>
      </c>
    </row>
    <row r="15" spans="1:2" ht="208.5" customHeight="1" thickTop="1">
      <c r="A15" s="929"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29"/>
    </row>
    <row r="30" spans="1:2" ht="15.75" thickBot="1">
      <c r="A30" s="352" t="str">
        <f>Translation!B102</f>
        <v>Watts</v>
      </c>
    </row>
    <row r="31" spans="1:2" s="350" customFormat="1" ht="47.25" customHeight="1" thickTop="1">
      <c r="A31" s="929" t="str">
        <f>Translation!B100</f>
        <v xml:space="preserve">This is actual power consumption of the fixture, including the bulb and any ballast or other electronics. It is read in from the IES file when other fixture data is captured. </v>
      </c>
      <c r="B31" s="929"/>
    </row>
    <row r="33" spans="1:2" ht="151.5" customHeight="1">
      <c r="A33" s="929"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29"/>
    </row>
    <row r="52" spans="1:2" ht="15.75" thickBot="1">
      <c r="A52" s="353" t="str">
        <f>Translation!B95</f>
        <v>Total Light Loss Factor</v>
      </c>
    </row>
    <row r="53" spans="1:2" ht="258.75" customHeight="1" thickTop="1">
      <c r="A53" s="929"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29"/>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1"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1"/>
    </row>
    <row r="69" spans="1:2">
      <c r="A69" s="929"/>
      <c r="B69" s="929"/>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30" t="str">
        <f>Translation!B325</f>
        <v>The installation cost should be the all-in cost for installing the fixture, including street closure costs, labor costs, etc. as relevant. If this is your baseline fixture (i.e. already installed), this cost should be zero</v>
      </c>
      <c r="B76" s="930"/>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30"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30"/>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2" t="str">
        <f>Translation!B329</f>
        <v xml:space="preserve">Enter the assumed discount rate for calculating the net present value of future energy and maintenance cost savings
</v>
      </c>
      <c r="B88" s="932"/>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30" t="str">
        <f>Translation!B331</f>
        <v xml:space="preserve">Enter the time period over which you'd like to evaluate the differences in maintenance, bulb replacement, and energy costs between the scenarios
</v>
      </c>
      <c r="B94" s="930"/>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29"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29"/>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30"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30"/>
    </row>
    <row r="124" spans="1:2">
      <c r="A124" s="930" t="str">
        <f>Translation!B93</f>
        <v>For LED fixtures , fixture life can be very long - but a poorly designed fixture may have a much shorter life than typical. It's very important to assess manufacturer claims about typical life. To assess these claims, here are some tips:</v>
      </c>
      <c r="B124" s="930"/>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t="e">
        <f ca="1">FixtureData!G$6</f>
        <v>#REF!</v>
      </c>
    </row>
    <row r="10" spans="2:3">
      <c r="B10" s="175" t="str">
        <f>FixtureData!H$5</f>
        <v>Total Light Loss Factor</v>
      </c>
      <c r="C10" s="259" t="e">
        <f ca="1">FixtureData!H$6</f>
        <v>#REF!</v>
      </c>
    </row>
    <row r="11" spans="2:3">
      <c r="B11" s="175" t="str">
        <f>FixtureData!I$5</f>
        <v>kWh/fixture</v>
      </c>
      <c r="C11" s="320" t="e">
        <f ca="1">FixtureData!I$6</f>
        <v>#REF!</v>
      </c>
    </row>
    <row r="12" spans="2:3">
      <c r="B12" s="175" t="str">
        <f>FixtureData!J$5</f>
        <v>kWh/kilometer/yr</v>
      </c>
      <c r="C12" s="321" t="e">
        <f ca="1">FixtureData!J$6</f>
        <v>#REF!</v>
      </c>
    </row>
    <row r="13" spans="2:3">
      <c r="B13" s="175" t="str">
        <f>FixtureData!K$5</f>
        <v>Equipment Cost ($/fixture)</v>
      </c>
      <c r="C13" s="322" t="e">
        <f ca="1">FixtureData!K$6</f>
        <v>#REF!</v>
      </c>
    </row>
    <row r="14" spans="2:3">
      <c r="B14" s="175" t="str">
        <f>FixtureData!L$5</f>
        <v>Installation Cost ($/fixture)</v>
      </c>
      <c r="C14" s="322" t="e">
        <f ca="1">FixtureData!L$6</f>
        <v>#REF!</v>
      </c>
    </row>
    <row r="15" spans="2:3" ht="30">
      <c r="B15" s="175" t="str">
        <f>FixtureData!M$5</f>
        <v>One-time Rebate or Subsidy ($/fixture)</v>
      </c>
      <c r="C15" s="322" t="e">
        <f ca="1">FixtureData!M$6</f>
        <v>#REF!</v>
      </c>
    </row>
    <row r="16" spans="2:3" ht="30">
      <c r="B16" s="175" t="str">
        <f>FixtureData!N$5</f>
        <v>Annual Maintenance Cost ($/year)</v>
      </c>
      <c r="C16" s="322" t="e">
        <f ca="1">FixtureData!N$6</f>
        <v>#REF!</v>
      </c>
    </row>
    <row r="17" spans="1:23" ht="30">
      <c r="B17" s="175" t="str">
        <f>FixtureData!O$5</f>
        <v>Maintenance inflation rate (%/year)</v>
      </c>
      <c r="C17" s="323" t="e">
        <f ca="1">FixtureData!O$6</f>
        <v>#REF!</v>
      </c>
    </row>
    <row r="18" spans="1:23">
      <c r="B18" s="175" t="str">
        <f>'Road Geometry'!B51</f>
        <v>Fixtures/km</v>
      </c>
      <c r="C18" s="321" t="e">
        <f>IF(FixtureData!A6="Baseline",'Road Geometry'!C51,'Road Geometry'!C77)</f>
        <v>#DIV/0!</v>
      </c>
    </row>
    <row r="20" spans="1:23">
      <c r="B20" s="175" t="s">
        <v>1106</v>
      </c>
      <c r="C20" s="324" t="e">
        <f ca="1">C13+C14-C15</f>
        <v>#REF!</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t="e">
        <f ca="1">C20</f>
        <v>#REF!</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0</v>
      </c>
      <c r="S23" s="324" t="e">
        <f ca="1">I23</f>
        <v>#REF!</v>
      </c>
      <c r="T23" s="333" t="e">
        <f ca="1">R23-S23</f>
        <v>#REF!</v>
      </c>
      <c r="U23" s="259" t="e">
        <f ca="1">IF(T23&gt;0,Translation!$B$509,IF(AVERAGE($T$24:$T$43)&lt;0,Translation!$B$510,""))</f>
        <v>#REF!</v>
      </c>
      <c r="V23" s="494"/>
    </row>
    <row r="24" spans="1:23">
      <c r="A24" t="s">
        <v>1107</v>
      </c>
      <c r="B24" s="327">
        <v>1</v>
      </c>
      <c r="C24" s="328" t="e">
        <f t="shared" ref="C24:C43" ca="1" si="5">$C$16*(1+$C$17)^$B24</f>
        <v>#REF!</v>
      </c>
      <c r="D24" s="328" t="e">
        <f t="shared" ref="D24:D43" ca="1" si="6">$C$11*$C$3*(1+$C$4)^B24</f>
        <v>#REF!</v>
      </c>
      <c r="E24" s="328" t="e">
        <f ca="1">D24+C24</f>
        <v>#REF!</v>
      </c>
      <c r="F24" s="329" t="e">
        <f t="shared" ref="F24:F43" ca="1" si="7">(C24)/(1+$C$5)^$B24</f>
        <v>#REF!</v>
      </c>
      <c r="G24" s="329" t="e">
        <f t="shared" ref="G24:G43" ca="1" si="8">(D24)/(1+$C$5)^$B24</f>
        <v>#REF!</v>
      </c>
      <c r="H24" s="329" t="e">
        <f ca="1">F24+G24</f>
        <v>#REF!</v>
      </c>
      <c r="I24" s="328" t="e">
        <f t="shared" ref="I24:I43" ca="1" si="9">I23+G24+F24</f>
        <v>#REF!</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40.689840000000004</v>
      </c>
      <c r="S24" s="501" t="e">
        <f ca="1">E24</f>
        <v>#REF!</v>
      </c>
      <c r="T24" s="333" t="e">
        <f t="shared" ref="T24:T43" ca="1" si="11">R24-S24</f>
        <v>#REF!</v>
      </c>
      <c r="U24" s="502" t="e">
        <f ca="1">IF(U$23&lt;&gt;"",$U$23,IRR(T$23:T24))</f>
        <v>#REF!</v>
      </c>
      <c r="V24" s="494"/>
      <c r="W24" s="500"/>
    </row>
    <row r="25" spans="1:23">
      <c r="B25" s="327">
        <v>2</v>
      </c>
      <c r="C25" s="328" t="e">
        <f t="shared" ca="1" si="5"/>
        <v>#REF!</v>
      </c>
      <c r="D25" s="328" t="e">
        <f t="shared" ca="1" si="6"/>
        <v>#REF!</v>
      </c>
      <c r="E25" s="328" t="e">
        <f t="shared" ref="E25:E43" ca="1" si="12">D25+C25</f>
        <v>#REF!</v>
      </c>
      <c r="F25" s="329" t="e">
        <f t="shared" ca="1" si="7"/>
        <v>#REF!</v>
      </c>
      <c r="G25" s="329" t="e">
        <f t="shared" ca="1" si="8"/>
        <v>#REF!</v>
      </c>
      <c r="H25" s="329" t="e">
        <f t="shared" ref="H25:H43" ca="1" si="13">F25+G25</f>
        <v>#REF!</v>
      </c>
      <c r="I25" s="328" t="e">
        <f t="shared" ca="1" si="9"/>
        <v>#REF!</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41.503636800000002</v>
      </c>
      <c r="S25" s="501" t="e">
        <f t="shared" ref="S25:S43" ca="1" si="14">E25</f>
        <v>#REF!</v>
      </c>
      <c r="T25" s="333" t="e">
        <f t="shared" ca="1" si="11"/>
        <v>#REF!</v>
      </c>
      <c r="U25" s="502" t="e">
        <f ca="1">IF(U$23&lt;&gt;"","-",IRR(T$23:T25))</f>
        <v>#REF!</v>
      </c>
      <c r="V25" s="494"/>
      <c r="W25" s="500"/>
    </row>
    <row r="26" spans="1:23">
      <c r="B26" s="327">
        <v>3</v>
      </c>
      <c r="C26" s="328" t="e">
        <f t="shared" ca="1" si="5"/>
        <v>#REF!</v>
      </c>
      <c r="D26" s="328" t="e">
        <f t="shared" ca="1" si="6"/>
        <v>#REF!</v>
      </c>
      <c r="E26" s="328" t="e">
        <f t="shared" ca="1" si="12"/>
        <v>#REF!</v>
      </c>
      <c r="F26" s="329" t="e">
        <f t="shared" ca="1" si="7"/>
        <v>#REF!</v>
      </c>
      <c r="G26" s="329" t="e">
        <f t="shared" ca="1" si="8"/>
        <v>#REF!</v>
      </c>
      <c r="H26" s="329" t="e">
        <f t="shared" ca="1" si="13"/>
        <v>#REF!</v>
      </c>
      <c r="I26" s="328" t="e">
        <f t="shared" ca="1" si="9"/>
        <v>#REF!</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42.333709536000001</v>
      </c>
      <c r="S26" s="501" t="e">
        <f t="shared" ca="1" si="14"/>
        <v>#REF!</v>
      </c>
      <c r="T26" s="333" t="e">
        <f t="shared" ca="1" si="11"/>
        <v>#REF!</v>
      </c>
      <c r="U26" s="502" t="e">
        <f ca="1">IF(U$23&lt;&gt;"","-",IRR(T$23:T26))</f>
        <v>#REF!</v>
      </c>
      <c r="V26" s="494"/>
      <c r="W26" s="500"/>
    </row>
    <row r="27" spans="1:23">
      <c r="B27" s="327">
        <v>4</v>
      </c>
      <c r="C27" s="328" t="e">
        <f t="shared" ca="1" si="5"/>
        <v>#REF!</v>
      </c>
      <c r="D27" s="328" t="e">
        <f t="shared" ca="1" si="6"/>
        <v>#REF!</v>
      </c>
      <c r="E27" s="328" t="e">
        <f t="shared" ca="1" si="12"/>
        <v>#REF!</v>
      </c>
      <c r="F27" s="329" t="e">
        <f t="shared" ca="1" si="7"/>
        <v>#REF!</v>
      </c>
      <c r="G27" s="329" t="e">
        <f t="shared" ca="1" si="8"/>
        <v>#REF!</v>
      </c>
      <c r="H27" s="329" t="e">
        <f t="shared" ca="1" si="13"/>
        <v>#REF!</v>
      </c>
      <c r="I27" s="328" t="e">
        <f t="shared" ca="1" si="9"/>
        <v>#REF!</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43.180383726720002</v>
      </c>
      <c r="S27" s="501" t="e">
        <f t="shared" ca="1" si="14"/>
        <v>#REF!</v>
      </c>
      <c r="T27" s="333" t="e">
        <f t="shared" ca="1" si="11"/>
        <v>#REF!</v>
      </c>
      <c r="U27" s="502" t="e">
        <f ca="1">IF(U$23&lt;&gt;"","-",IRR(T$23:T27))</f>
        <v>#REF!</v>
      </c>
      <c r="V27" s="494"/>
      <c r="W27" s="500"/>
    </row>
    <row r="28" spans="1:23">
      <c r="B28" s="327">
        <v>5</v>
      </c>
      <c r="C28" s="328" t="e">
        <f t="shared" ca="1" si="5"/>
        <v>#REF!</v>
      </c>
      <c r="D28" s="328" t="e">
        <f t="shared" ca="1" si="6"/>
        <v>#REF!</v>
      </c>
      <c r="E28" s="328" t="e">
        <f t="shared" ca="1" si="12"/>
        <v>#REF!</v>
      </c>
      <c r="F28" s="329" t="e">
        <f t="shared" ca="1" si="7"/>
        <v>#REF!</v>
      </c>
      <c r="G28" s="329" t="e">
        <f t="shared" ca="1" si="8"/>
        <v>#REF!</v>
      </c>
      <c r="H28" s="329" t="e">
        <f t="shared" ca="1" si="13"/>
        <v>#REF!</v>
      </c>
      <c r="I28" s="328" t="e">
        <f t="shared" ca="1" si="9"/>
        <v>#REF!</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44.043991401254402</v>
      </c>
      <c r="S28" s="501" t="e">
        <f t="shared" ca="1" si="14"/>
        <v>#REF!</v>
      </c>
      <c r="T28" s="333" t="e">
        <f t="shared" ca="1" si="11"/>
        <v>#REF!</v>
      </c>
      <c r="U28" s="502" t="e">
        <f ca="1">IF(U$23&lt;&gt;"","-",IRR(T$23:T28))</f>
        <v>#REF!</v>
      </c>
      <c r="V28" s="494"/>
      <c r="W28" s="500"/>
    </row>
    <row r="29" spans="1:23">
      <c r="B29" s="327">
        <v>6</v>
      </c>
      <c r="C29" s="328" t="e">
        <f t="shared" ca="1" si="5"/>
        <v>#REF!</v>
      </c>
      <c r="D29" s="328" t="e">
        <f t="shared" ca="1" si="6"/>
        <v>#REF!</v>
      </c>
      <c r="E29" s="328" t="e">
        <f t="shared" ca="1" si="12"/>
        <v>#REF!</v>
      </c>
      <c r="F29" s="329" t="e">
        <f t="shared" ca="1" si="7"/>
        <v>#REF!</v>
      </c>
      <c r="G29" s="329" t="e">
        <f t="shared" ca="1" si="8"/>
        <v>#REF!</v>
      </c>
      <c r="H29" s="329" t="e">
        <f t="shared" ca="1" si="13"/>
        <v>#REF!</v>
      </c>
      <c r="I29" s="328" t="e">
        <f t="shared" ca="1" si="9"/>
        <v>#REF!</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44.924871229279489</v>
      </c>
      <c r="S29" s="501" t="e">
        <f t="shared" ca="1" si="14"/>
        <v>#REF!</v>
      </c>
      <c r="T29" s="333" t="e">
        <f t="shared" ca="1" si="11"/>
        <v>#REF!</v>
      </c>
      <c r="U29" s="502" t="e">
        <f ca="1">IF(U$23&lt;&gt;"","-",IRR(T$23:T29))</f>
        <v>#REF!</v>
      </c>
      <c r="V29" s="494"/>
      <c r="W29" s="500"/>
    </row>
    <row r="30" spans="1:23">
      <c r="B30" s="327">
        <v>7</v>
      </c>
      <c r="C30" s="328" t="e">
        <f t="shared" ca="1" si="5"/>
        <v>#REF!</v>
      </c>
      <c r="D30" s="328" t="e">
        <f t="shared" ca="1" si="6"/>
        <v>#REF!</v>
      </c>
      <c r="E30" s="328" t="e">
        <f t="shared" ca="1" si="12"/>
        <v>#REF!</v>
      </c>
      <c r="F30" s="329" t="e">
        <f t="shared" ca="1" si="7"/>
        <v>#REF!</v>
      </c>
      <c r="G30" s="329" t="e">
        <f t="shared" ca="1" si="8"/>
        <v>#REF!</v>
      </c>
      <c r="H30" s="329" t="e">
        <f t="shared" ca="1" si="13"/>
        <v>#REF!</v>
      </c>
      <c r="I30" s="328" t="e">
        <f t="shared" ca="1" si="9"/>
        <v>#REF!</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45.823368653865074</v>
      </c>
      <c r="S30" s="501" t="e">
        <f t="shared" ca="1" si="14"/>
        <v>#REF!</v>
      </c>
      <c r="T30" s="333" t="e">
        <f t="shared" ca="1" si="11"/>
        <v>#REF!</v>
      </c>
      <c r="U30" s="502" t="e">
        <f ca="1">IF(U$23&lt;&gt;"","-",IRR(T$23:T30))</f>
        <v>#REF!</v>
      </c>
      <c r="V30" s="494"/>
      <c r="W30" s="500"/>
    </row>
    <row r="31" spans="1:23">
      <c r="B31" s="327">
        <v>8</v>
      </c>
      <c r="C31" s="328" t="e">
        <f t="shared" ca="1" si="5"/>
        <v>#REF!</v>
      </c>
      <c r="D31" s="328" t="e">
        <f t="shared" ca="1" si="6"/>
        <v>#REF!</v>
      </c>
      <c r="E31" s="328" t="e">
        <f t="shared" ca="1" si="12"/>
        <v>#REF!</v>
      </c>
      <c r="F31" s="329" t="e">
        <f t="shared" ca="1" si="7"/>
        <v>#REF!</v>
      </c>
      <c r="G31" s="329" t="e">
        <f t="shared" ca="1" si="8"/>
        <v>#REF!</v>
      </c>
      <c r="H31" s="329" t="e">
        <f t="shared" ca="1" si="13"/>
        <v>#REF!</v>
      </c>
      <c r="I31" s="328" t="e">
        <f t="shared" ca="1" si="9"/>
        <v>#REF!</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46.739836026942385</v>
      </c>
      <c r="S31" s="501" t="e">
        <f t="shared" ca="1" si="14"/>
        <v>#REF!</v>
      </c>
      <c r="T31" s="333" t="e">
        <f t="shared" ca="1" si="11"/>
        <v>#REF!</v>
      </c>
      <c r="U31" s="502" t="e">
        <f ca="1">IF(U$23&lt;&gt;"","-",IRR(T$23:T31))</f>
        <v>#REF!</v>
      </c>
      <c r="V31" s="494"/>
      <c r="W31" s="500"/>
    </row>
    <row r="32" spans="1:23">
      <c r="B32" s="327">
        <v>9</v>
      </c>
      <c r="C32" s="328" t="e">
        <f t="shared" ca="1" si="5"/>
        <v>#REF!</v>
      </c>
      <c r="D32" s="328" t="e">
        <f t="shared" ca="1" si="6"/>
        <v>#REF!</v>
      </c>
      <c r="E32" s="328" t="e">
        <f t="shared" ca="1" si="12"/>
        <v>#REF!</v>
      </c>
      <c r="F32" s="329" t="e">
        <f t="shared" ca="1" si="7"/>
        <v>#REF!</v>
      </c>
      <c r="G32" s="329" t="e">
        <f t="shared" ca="1" si="8"/>
        <v>#REF!</v>
      </c>
      <c r="H32" s="329" t="e">
        <f t="shared" ca="1" si="13"/>
        <v>#REF!</v>
      </c>
      <c r="I32" s="328" t="e">
        <f t="shared" ca="1" si="9"/>
        <v>#REF!</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47.674632747481226</v>
      </c>
      <c r="S32" s="501" t="e">
        <f t="shared" ca="1" si="14"/>
        <v>#REF!</v>
      </c>
      <c r="T32" s="333" t="e">
        <f t="shared" ca="1" si="11"/>
        <v>#REF!</v>
      </c>
      <c r="U32" s="502" t="e">
        <f ca="1">IF(U$23&lt;&gt;"","-",IRR(T$23:T32))</f>
        <v>#REF!</v>
      </c>
      <c r="V32" s="494"/>
      <c r="W32" s="500"/>
    </row>
    <row r="33" spans="2:23">
      <c r="B33" s="327">
        <v>10</v>
      </c>
      <c r="C33" s="328" t="e">
        <f t="shared" ca="1" si="5"/>
        <v>#REF!</v>
      </c>
      <c r="D33" s="328" t="e">
        <f t="shared" ca="1" si="6"/>
        <v>#REF!</v>
      </c>
      <c r="E33" s="328" t="e">
        <f t="shared" ca="1" si="12"/>
        <v>#REF!</v>
      </c>
      <c r="F33" s="329" t="e">
        <f t="shared" ca="1" si="7"/>
        <v>#REF!</v>
      </c>
      <c r="G33" s="329" t="e">
        <f t="shared" ca="1" si="8"/>
        <v>#REF!</v>
      </c>
      <c r="H33" s="329" t="e">
        <f t="shared" ca="1" si="13"/>
        <v>#REF!</v>
      </c>
      <c r="I33" s="328" t="e">
        <f t="shared" ca="1" si="9"/>
        <v>#REF!</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48.628125402430854</v>
      </c>
      <c r="S33" s="501" t="e">
        <f t="shared" ca="1" si="14"/>
        <v>#REF!</v>
      </c>
      <c r="T33" s="333" t="e">
        <f t="shared" ca="1" si="11"/>
        <v>#REF!</v>
      </c>
      <c r="U33" s="502" t="e">
        <f ca="1">IF(U$23&lt;&gt;"","-",IRR(T$23:T33))</f>
        <v>#REF!</v>
      </c>
      <c r="V33" s="494"/>
      <c r="W33" s="500"/>
    </row>
    <row r="34" spans="2:23">
      <c r="B34" s="327">
        <v>11</v>
      </c>
      <c r="C34" s="328" t="e">
        <f t="shared" ca="1" si="5"/>
        <v>#REF!</v>
      </c>
      <c r="D34" s="328" t="e">
        <f t="shared" ca="1" si="6"/>
        <v>#REF!</v>
      </c>
      <c r="E34" s="328" t="e">
        <f t="shared" ca="1" si="12"/>
        <v>#REF!</v>
      </c>
      <c r="F34" s="329" t="e">
        <f t="shared" ca="1" si="7"/>
        <v>#REF!</v>
      </c>
      <c r="G34" s="329" t="e">
        <f t="shared" ca="1" si="8"/>
        <v>#REF!</v>
      </c>
      <c r="H34" s="329" t="e">
        <f t="shared" ca="1" si="13"/>
        <v>#REF!</v>
      </c>
      <c r="I34" s="328" t="e">
        <f t="shared" ca="1" si="9"/>
        <v>#REF!</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49.600687910479465</v>
      </c>
      <c r="S34" s="501" t="e">
        <f t="shared" ca="1" si="14"/>
        <v>#REF!</v>
      </c>
      <c r="T34" s="333" t="e">
        <f t="shared" ca="1" si="11"/>
        <v>#REF!</v>
      </c>
      <c r="U34" s="502" t="e">
        <f ca="1">IF(U$23&lt;&gt;"","-",IRR(T$23:T34))</f>
        <v>#REF!</v>
      </c>
      <c r="V34" s="494"/>
      <c r="W34" s="500"/>
    </row>
    <row r="35" spans="2:23">
      <c r="B35" s="327">
        <v>12</v>
      </c>
      <c r="C35" s="328" t="e">
        <f t="shared" ca="1" si="5"/>
        <v>#REF!</v>
      </c>
      <c r="D35" s="328" t="e">
        <f t="shared" ca="1" si="6"/>
        <v>#REF!</v>
      </c>
      <c r="E35" s="328" t="e">
        <f t="shared" ca="1" si="12"/>
        <v>#REF!</v>
      </c>
      <c r="F35" s="329" t="e">
        <f t="shared" ca="1" si="7"/>
        <v>#REF!</v>
      </c>
      <c r="G35" s="329" t="e">
        <f t="shared" ca="1" si="8"/>
        <v>#REF!</v>
      </c>
      <c r="H35" s="329" t="e">
        <f t="shared" ca="1" si="13"/>
        <v>#REF!</v>
      </c>
      <c r="I35" s="328" t="e">
        <f t="shared" ca="1" si="9"/>
        <v>#REF!</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50.59270166868906</v>
      </c>
      <c r="S35" s="501" t="e">
        <f t="shared" ca="1" si="14"/>
        <v>#REF!</v>
      </c>
      <c r="T35" s="333" t="e">
        <f t="shared" ca="1" si="11"/>
        <v>#REF!</v>
      </c>
      <c r="U35" s="502" t="e">
        <f ca="1">IF(U$23&lt;&gt;"","-",IRR(T$23:T35))</f>
        <v>#REF!</v>
      </c>
      <c r="V35" s="494"/>
      <c r="W35" s="500"/>
    </row>
    <row r="36" spans="2:23">
      <c r="B36" s="327">
        <v>13</v>
      </c>
      <c r="C36" s="328" t="e">
        <f t="shared" ca="1" si="5"/>
        <v>#REF!</v>
      </c>
      <c r="D36" s="328" t="e">
        <f t="shared" ca="1" si="6"/>
        <v>#REF!</v>
      </c>
      <c r="E36" s="328" t="e">
        <f t="shared" ca="1" si="12"/>
        <v>#REF!</v>
      </c>
      <c r="F36" s="329" t="e">
        <f t="shared" ca="1" si="7"/>
        <v>#REF!</v>
      </c>
      <c r="G36" s="329" t="e">
        <f t="shared" ca="1" si="8"/>
        <v>#REF!</v>
      </c>
      <c r="H36" s="329" t="e">
        <f t="shared" ca="1" si="13"/>
        <v>#REF!</v>
      </c>
      <c r="I36" s="328" t="e">
        <f t="shared" ca="1" si="9"/>
        <v>#REF!</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51.604555702062839</v>
      </c>
      <c r="S36" s="501" t="e">
        <f t="shared" ca="1" si="14"/>
        <v>#REF!</v>
      </c>
      <c r="T36" s="333" t="e">
        <f t="shared" ca="1" si="11"/>
        <v>#REF!</v>
      </c>
      <c r="U36" s="502" t="e">
        <f ca="1">IF(U$23&lt;&gt;"","-",IRR(T$23:T36))</f>
        <v>#REF!</v>
      </c>
      <c r="V36" s="494"/>
      <c r="W36" s="500"/>
    </row>
    <row r="37" spans="2:23">
      <c r="B37" s="327">
        <v>14</v>
      </c>
      <c r="C37" s="328" t="e">
        <f t="shared" ca="1" si="5"/>
        <v>#REF!</v>
      </c>
      <c r="D37" s="328" t="e">
        <f t="shared" ca="1" si="6"/>
        <v>#REF!</v>
      </c>
      <c r="E37" s="328" t="e">
        <f t="shared" ca="1" si="12"/>
        <v>#REF!</v>
      </c>
      <c r="F37" s="329" t="e">
        <f t="shared" ca="1" si="7"/>
        <v>#REF!</v>
      </c>
      <c r="G37" s="329" t="e">
        <f t="shared" ca="1" si="8"/>
        <v>#REF!</v>
      </c>
      <c r="H37" s="329" t="e">
        <f t="shared" ca="1" si="13"/>
        <v>#REF!</v>
      </c>
      <c r="I37" s="328" t="e">
        <f t="shared" ca="1" si="9"/>
        <v>#REF!</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52.636646816104104</v>
      </c>
      <c r="S37" s="501" t="e">
        <f t="shared" ca="1" si="14"/>
        <v>#REF!</v>
      </c>
      <c r="T37" s="333" t="e">
        <f t="shared" ca="1" si="11"/>
        <v>#REF!</v>
      </c>
      <c r="U37" s="502" t="e">
        <f ca="1">IF(U$23&lt;&gt;"","-",IRR(T$23:T37))</f>
        <v>#REF!</v>
      </c>
      <c r="V37" s="494"/>
      <c r="W37" s="500"/>
    </row>
    <row r="38" spans="2:23">
      <c r="B38" s="327">
        <v>15</v>
      </c>
      <c r="C38" s="328" t="e">
        <f t="shared" ca="1" si="5"/>
        <v>#REF!</v>
      </c>
      <c r="D38" s="328" t="e">
        <f t="shared" ca="1" si="6"/>
        <v>#REF!</v>
      </c>
      <c r="E38" s="328" t="e">
        <f t="shared" ca="1" si="12"/>
        <v>#REF!</v>
      </c>
      <c r="F38" s="329" t="e">
        <f t="shared" ca="1" si="7"/>
        <v>#REF!</v>
      </c>
      <c r="G38" s="329" t="e">
        <f t="shared" ca="1" si="8"/>
        <v>#REF!</v>
      </c>
      <c r="H38" s="329" t="e">
        <f t="shared" ca="1" si="13"/>
        <v>#REF!</v>
      </c>
      <c r="I38" s="328" t="e">
        <f t="shared" ca="1" si="9"/>
        <v>#REF!</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53.68937975242617</v>
      </c>
      <c r="S38" s="501" t="e">
        <f t="shared" ca="1" si="14"/>
        <v>#REF!</v>
      </c>
      <c r="T38" s="333" t="e">
        <f t="shared" ca="1" si="11"/>
        <v>#REF!</v>
      </c>
      <c r="U38" s="502" t="e">
        <f ca="1">IF(U$23&lt;&gt;"","-",IRR(T$23:T38))</f>
        <v>#REF!</v>
      </c>
      <c r="V38" s="494"/>
      <c r="W38" s="500"/>
    </row>
    <row r="39" spans="2:23">
      <c r="B39" s="327">
        <v>16</v>
      </c>
      <c r="C39" s="328" t="e">
        <f t="shared" ca="1" si="5"/>
        <v>#REF!</v>
      </c>
      <c r="D39" s="328" t="e">
        <f t="shared" ca="1" si="6"/>
        <v>#REF!</v>
      </c>
      <c r="E39" s="328" t="e">
        <f t="shared" ca="1" si="12"/>
        <v>#REF!</v>
      </c>
      <c r="F39" s="329" t="e">
        <f t="shared" ca="1" si="7"/>
        <v>#REF!</v>
      </c>
      <c r="G39" s="329" t="e">
        <f t="shared" ca="1" si="8"/>
        <v>#REF!</v>
      </c>
      <c r="H39" s="329" t="e">
        <f t="shared" ca="1" si="13"/>
        <v>#REF!</v>
      </c>
      <c r="I39" s="328" t="e">
        <f t="shared" ca="1" si="9"/>
        <v>#REF!</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54.763167347474706</v>
      </c>
      <c r="S39" s="501" t="e">
        <f t="shared" ca="1" si="14"/>
        <v>#REF!</v>
      </c>
      <c r="T39" s="333" t="e">
        <f t="shared" ca="1" si="11"/>
        <v>#REF!</v>
      </c>
      <c r="U39" s="502" t="e">
        <f ca="1">IF(U$23&lt;&gt;"","-",IRR(T$23:T39))</f>
        <v>#REF!</v>
      </c>
      <c r="V39" s="494"/>
      <c r="W39" s="500"/>
    </row>
    <row r="40" spans="2:23">
      <c r="B40" s="327">
        <v>17</v>
      </c>
      <c r="C40" s="328" t="e">
        <f t="shared" ca="1" si="5"/>
        <v>#REF!</v>
      </c>
      <c r="D40" s="328" t="e">
        <f t="shared" ca="1" si="6"/>
        <v>#REF!</v>
      </c>
      <c r="E40" s="328" t="e">
        <f t="shared" ca="1" si="12"/>
        <v>#REF!</v>
      </c>
      <c r="F40" s="329" t="e">
        <f t="shared" ca="1" si="7"/>
        <v>#REF!</v>
      </c>
      <c r="G40" s="329" t="e">
        <f t="shared" ca="1" si="8"/>
        <v>#REF!</v>
      </c>
      <c r="H40" s="329" t="e">
        <f t="shared" ca="1" si="13"/>
        <v>#REF!</v>
      </c>
      <c r="I40" s="328" t="e">
        <f t="shared" ca="1" si="9"/>
        <v>#REF!</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55.8584306944242</v>
      </c>
      <c r="S40" s="501" t="e">
        <f t="shared" ca="1" si="14"/>
        <v>#REF!</v>
      </c>
      <c r="T40" s="333" t="e">
        <f t="shared" ca="1" si="11"/>
        <v>#REF!</v>
      </c>
      <c r="U40" s="502" t="e">
        <f ca="1">IF(U$23&lt;&gt;"","-",IRR(T$23:T40))</f>
        <v>#REF!</v>
      </c>
      <c r="V40" s="494"/>
      <c r="W40" s="500"/>
    </row>
    <row r="41" spans="2:23">
      <c r="B41" s="327">
        <v>18</v>
      </c>
      <c r="C41" s="328" t="e">
        <f t="shared" ca="1" si="5"/>
        <v>#REF!</v>
      </c>
      <c r="D41" s="328" t="e">
        <f t="shared" ca="1" si="6"/>
        <v>#REF!</v>
      </c>
      <c r="E41" s="328" t="e">
        <f t="shared" ca="1" si="12"/>
        <v>#REF!</v>
      </c>
      <c r="F41" s="329" t="e">
        <f t="shared" ca="1" si="7"/>
        <v>#REF!</v>
      </c>
      <c r="G41" s="329" t="e">
        <f t="shared" ca="1" si="8"/>
        <v>#REF!</v>
      </c>
      <c r="H41" s="329" t="e">
        <f t="shared" ca="1" si="13"/>
        <v>#REF!</v>
      </c>
      <c r="I41" s="328" t="e">
        <f t="shared" ca="1" si="9"/>
        <v>#REF!</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56.975599308312681</v>
      </c>
      <c r="S41" s="501" t="e">
        <f t="shared" ca="1" si="14"/>
        <v>#REF!</v>
      </c>
      <c r="T41" s="333" t="e">
        <f t="shared" ca="1" si="11"/>
        <v>#REF!</v>
      </c>
      <c r="U41" s="502" t="e">
        <f ca="1">IF(U$23&lt;&gt;"","-",IRR(T$23:T41))</f>
        <v>#REF!</v>
      </c>
      <c r="V41" s="494"/>
      <c r="W41" s="500"/>
    </row>
    <row r="42" spans="2:23">
      <c r="B42" s="327">
        <v>19</v>
      </c>
      <c r="C42" s="328" t="e">
        <f t="shared" ca="1" si="5"/>
        <v>#REF!</v>
      </c>
      <c r="D42" s="328" t="e">
        <f t="shared" ca="1" si="6"/>
        <v>#REF!</v>
      </c>
      <c r="E42" s="328" t="e">
        <f t="shared" ca="1" si="12"/>
        <v>#REF!</v>
      </c>
      <c r="F42" s="329" t="e">
        <f t="shared" ca="1" si="7"/>
        <v>#REF!</v>
      </c>
      <c r="G42" s="329" t="e">
        <f t="shared" ca="1" si="8"/>
        <v>#REF!</v>
      </c>
      <c r="H42" s="329" t="e">
        <f t="shared" ca="1" si="13"/>
        <v>#REF!</v>
      </c>
      <c r="I42" s="328" t="e">
        <f t="shared" ca="1" si="9"/>
        <v>#REF!</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58.115111294478929</v>
      </c>
      <c r="S42" s="501" t="e">
        <f t="shared" ca="1" si="14"/>
        <v>#REF!</v>
      </c>
      <c r="T42" s="333" t="e">
        <f t="shared" ca="1" si="11"/>
        <v>#REF!</v>
      </c>
      <c r="U42" s="502" t="e">
        <f ca="1">IF(U$23&lt;&gt;"","-",IRR(T$23:T42))</f>
        <v>#REF!</v>
      </c>
      <c r="V42" s="494"/>
      <c r="W42" s="500"/>
    </row>
    <row r="43" spans="2:23">
      <c r="B43" s="327">
        <v>20</v>
      </c>
      <c r="C43" s="328" t="e">
        <f t="shared" ca="1" si="5"/>
        <v>#REF!</v>
      </c>
      <c r="D43" s="328" t="e">
        <f t="shared" ca="1" si="6"/>
        <v>#REF!</v>
      </c>
      <c r="E43" s="328" t="e">
        <f t="shared" ca="1" si="12"/>
        <v>#REF!</v>
      </c>
      <c r="F43" s="329" t="e">
        <f t="shared" ca="1" si="7"/>
        <v>#REF!</v>
      </c>
      <c r="G43" s="329" t="e">
        <f t="shared" ca="1" si="8"/>
        <v>#REF!</v>
      </c>
      <c r="H43" s="329" t="e">
        <f t="shared" ca="1" si="13"/>
        <v>#REF!</v>
      </c>
      <c r="I43" s="328" t="e">
        <f t="shared" ca="1" si="9"/>
        <v>#REF!</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59.277413520368512</v>
      </c>
      <c r="S43" s="501" t="e">
        <f t="shared" ca="1" si="14"/>
        <v>#REF!</v>
      </c>
      <c r="T43" s="333" t="e">
        <f t="shared" ca="1" si="11"/>
        <v>#REF!</v>
      </c>
      <c r="U43" s="502" t="e">
        <f ca="1">IF(U$23&lt;&gt;"","-",IRR(T$23:T43))</f>
        <v>#REF!</v>
      </c>
      <c r="V43" s="494"/>
      <c r="W43" s="500"/>
    </row>
    <row r="44" spans="2:23">
      <c r="E44" s="481"/>
      <c r="L44" s="481"/>
    </row>
    <row r="45" spans="2:23">
      <c r="B45" s="2" t="s">
        <v>1124</v>
      </c>
    </row>
    <row r="46" spans="2:23">
      <c r="B46" s="175" t="str">
        <f>Translation!C373</f>
        <v>Total Installation Cost</v>
      </c>
      <c r="C46" s="333" t="e">
        <f ca="1">C20</f>
        <v>#REF!</v>
      </c>
    </row>
    <row r="47" spans="2:23">
      <c r="B47" s="175" t="str">
        <f>Translation!C374</f>
        <v>Total Annual Cost</v>
      </c>
      <c r="C47" s="333" t="e">
        <f ca="1">C3*C11+C16</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3" t="str">
        <f>Translation!$B$350</f>
        <v>The assumptions below are the default costs used when adding a new IES file. They can be overwritten for each individual fixture on the 'Fixtures' tab</v>
      </c>
      <c r="B2" s="933"/>
      <c r="C2" s="933"/>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2" spans="2:7">
      <c r="B42" s="632" t="str">
        <f>Translation!B11</f>
        <v>English</v>
      </c>
      <c r="C42" s="709" t="s">
        <v>343</v>
      </c>
      <c r="D42" s="710" t="s">
        <v>1964</v>
      </c>
      <c r="E42" s="710" t="s">
        <v>1965</v>
      </c>
      <c r="F42" s="710" t="s">
        <v>3296</v>
      </c>
      <c r="G42" s="711" t="s">
        <v>3378</v>
      </c>
    </row>
    <row r="43" spans="2:7">
      <c r="B43" s="632" t="str">
        <f>INDEX($C43:$G43,MATCH($B$42,$C$42:$G$42,0))</f>
        <v>HPS</v>
      </c>
      <c r="C43" s="117" t="s">
        <v>0</v>
      </c>
      <c r="D43" s="365" t="s">
        <v>1985</v>
      </c>
      <c r="E43" s="294" t="s">
        <v>1983</v>
      </c>
      <c r="F43" s="294" t="s">
        <v>0</v>
      </c>
      <c r="G43" s="706"/>
    </row>
    <row r="44" spans="2:7">
      <c r="B44" s="632" t="str">
        <f t="shared" ref="B44:B45" si="1">INDEX($C44:$G44,MATCH($B$42,$C$42:$G$42,0))</f>
        <v>MH</v>
      </c>
      <c r="C44" s="117" t="s">
        <v>330</v>
      </c>
      <c r="D44" s="365" t="s">
        <v>330</v>
      </c>
      <c r="E44" s="294" t="s">
        <v>1984</v>
      </c>
      <c r="F44" s="294" t="s">
        <v>330</v>
      </c>
      <c r="G44" s="706"/>
    </row>
    <row r="45" spans="2:7">
      <c r="B45" s="632" t="str">
        <f t="shared" si="1"/>
        <v>LED</v>
      </c>
      <c r="C45" s="111" t="s">
        <v>65</v>
      </c>
      <c r="D45" s="707" t="s">
        <v>65</v>
      </c>
      <c r="E45" s="708" t="s">
        <v>65</v>
      </c>
      <c r="F45" s="708"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topLeftCell="C1" zoomScaleNormal="100" workbookViewId="0">
      <selection activeCell="G18" sqref="G18"/>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6" s="22" customFormat="1"/>
    <row r="2" spans="1:16" s="22" customFormat="1">
      <c r="A2" s="24" t="s">
        <v>43</v>
      </c>
      <c r="B2" s="16">
        <v>9</v>
      </c>
    </row>
    <row r="3" spans="1:16" s="22" customFormat="1" ht="30">
      <c r="A3" s="24" t="s">
        <v>44</v>
      </c>
      <c r="B3" s="16">
        <v>10</v>
      </c>
    </row>
    <row r="4" spans="1:16" s="22" customFormat="1">
      <c r="A4" s="24" t="s">
        <v>47</v>
      </c>
      <c r="B4" s="17">
        <f t="array" ref="B4">MAX(IF(LEN(B41:B36985)&gt;0,ROW(B41:B36985),0))-ROW(FxLib_start)+1</f>
        <v>1956</v>
      </c>
    </row>
    <row r="5" spans="1:16"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 si="1">P17</f>
        <v>Tilt (degrees)</v>
      </c>
    </row>
    <row r="6" spans="1:16" s="22" customFormat="1" ht="15.75" thickBot="1">
      <c r="A6" s="659" t="s">
        <v>19</v>
      </c>
      <c r="B6" s="61" t="e">
        <f ca="1">INDEX(B$18:B$20,MATCH($A$6,$A$18:$A$20,0))</f>
        <v>#REF!</v>
      </c>
      <c r="G6" s="55" t="e">
        <f t="shared" ref="G6:P6" ca="1" si="2">INDEX(G$18:G$20,MATCH($A$6,$A$18:$A$20,0))</f>
        <v>#REF!</v>
      </c>
      <c r="H6" s="55" t="e">
        <f t="shared" ca="1" si="2"/>
        <v>#REF!</v>
      </c>
      <c r="I6" s="55" t="e">
        <f t="shared" ca="1" si="2"/>
        <v>#REF!</v>
      </c>
      <c r="J6" s="55" t="e">
        <f t="shared" ca="1" si="2"/>
        <v>#REF!</v>
      </c>
      <c r="K6" s="318" t="e">
        <f t="shared" ca="1" si="2"/>
        <v>#REF!</v>
      </c>
      <c r="L6" s="318" t="e">
        <f t="shared" ca="1" si="2"/>
        <v>#REF!</v>
      </c>
      <c r="M6" s="318" t="e">
        <f t="shared" ca="1" si="2"/>
        <v>#REF!</v>
      </c>
      <c r="N6" s="318" t="e">
        <f t="shared" ca="1" si="2"/>
        <v>#REF!</v>
      </c>
      <c r="O6" s="319" t="e">
        <f t="shared" ca="1" si="2"/>
        <v>#REF!</v>
      </c>
      <c r="P6" s="698" t="e">
        <f t="shared" ca="1" si="2"/>
        <v>#REF!</v>
      </c>
    </row>
    <row r="7" spans="1:16" s="22" customFormat="1">
      <c r="A7" s="60" t="s">
        <v>9</v>
      </c>
      <c r="B7" s="57" t="e">
        <f ca="1">MATCH(B6,FxLib_names,0)-1</f>
        <v>#REF!</v>
      </c>
    </row>
    <row r="8" spans="1:16" s="22" customFormat="1">
      <c r="A8" s="56" t="s">
        <v>67</v>
      </c>
      <c r="B8" s="57" t="e">
        <f ca="1">OFFSET($A$41,B7+1,1)</f>
        <v>#REF!</v>
      </c>
    </row>
    <row r="9" spans="1:16" s="22" customFormat="1">
      <c r="A9" s="56" t="s">
        <v>1</v>
      </c>
      <c r="B9" s="57" t="e">
        <f ca="1">OFFSET($A$41,B7+2,1)</f>
        <v>#REF!</v>
      </c>
    </row>
    <row r="10" spans="1:16" s="22" customFormat="1">
      <c r="A10" s="56" t="s">
        <v>68</v>
      </c>
      <c r="B10" s="57" t="e">
        <f ca="1">OFFSET($A$41,B7+3,1)</f>
        <v>#REF!</v>
      </c>
    </row>
    <row r="11" spans="1:16" s="22" customFormat="1">
      <c r="A11" s="56" t="s">
        <v>40</v>
      </c>
      <c r="B11" s="57" t="e">
        <f ca="1">OFFSET($A$41,B7+4,1)</f>
        <v>#REF!</v>
      </c>
    </row>
    <row r="12" spans="1:16" s="22" customFormat="1">
      <c r="A12" s="56" t="s">
        <v>70</v>
      </c>
      <c r="B12" s="57" t="e">
        <f ca="1">OFFSET($A$41,B7+5,1)</f>
        <v>#REF!</v>
      </c>
    </row>
    <row r="13" spans="1:16" s="22" customFormat="1">
      <c r="A13" s="56" t="s">
        <v>45</v>
      </c>
      <c r="B13" s="57" t="e">
        <f ca="1">OFFSET($A$41,B7+6,1)</f>
        <v>#REF!</v>
      </c>
    </row>
    <row r="14" spans="1:16" s="22" customFormat="1" ht="33" customHeight="1">
      <c r="A14" s="56" t="s">
        <v>41</v>
      </c>
      <c r="B14" s="57" t="e">
        <f ca="1">OFFSET($A$41,B7+7,1)</f>
        <v>#REF!</v>
      </c>
    </row>
    <row r="15" spans="1:16" s="22" customFormat="1" ht="15.75" thickBot="1">
      <c r="A15" s="58" t="s">
        <v>42</v>
      </c>
      <c r="B15" s="59" t="e">
        <f ca="1">OFFSET($A$41,B7+8,1)</f>
        <v>#REF!</v>
      </c>
    </row>
    <row r="16" spans="1:16" s="22" customFormat="1">
      <c r="A16" s="261" t="s">
        <v>575</v>
      </c>
      <c r="B16" s="262" t="e">
        <f ca="1">ROW(FxLib_start)+offset</f>
        <v>#REF!</v>
      </c>
    </row>
    <row r="17" spans="1:16" s="22" customFormat="1" ht="72.75" customHeight="1" thickBot="1">
      <c r="A17" s="261" t="s">
        <v>576</v>
      </c>
      <c r="B17" s="262" t="e">
        <f ca="1">ROW(FxLib_start)+offset+Hrow+numhoriz-1</f>
        <v>#REF!</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row>
    <row r="18" spans="1:16" s="22" customFormat="1">
      <c r="A18" s="264" t="s">
        <v>22</v>
      </c>
      <c r="B18" s="267" t="str">
        <f ca="1">INDEX(FixtureChoices,Bfixturechoice)</f>
        <v>&lt;No Fixture&gt;</v>
      </c>
      <c r="C18" s="300">
        <v>2</v>
      </c>
      <c r="D18" s="22" t="s">
        <v>1080</v>
      </c>
      <c r="G18" s="303">
        <f ca="1">INDEX(FixtureWatts,FixtureData!C18)</f>
        <v>0</v>
      </c>
      <c r="H18" s="304">
        <f ca="1">INDEX(FixtureLOM,FixtureData!C18)</f>
        <v>0</v>
      </c>
      <c r="I18" s="305">
        <f ca="1">(FixtureData!G18/1000)*Costs!$C$8</f>
        <v>0</v>
      </c>
      <c r="J18" s="305" t="e">
        <f ca="1">I18*'Road Geometry'!C51</f>
        <v>#DIV/0!</v>
      </c>
      <c r="K18" s="317">
        <f>IF(Fixtures!$B$23="x",0,INDEX(FixtureEqCosts,FixtureData!$C18))</f>
        <v>0</v>
      </c>
      <c r="L18" s="317">
        <f>IF(Fixtures!$B$23="x",0,INDEX(FixtureInstCosts,FixtureData!$C18))</f>
        <v>0</v>
      </c>
      <c r="M18" s="317">
        <f>IF(Fixtures!$B$23="x",0,INDEX(FixtureRebCosts,FixtureData!$C18))</f>
        <v>0</v>
      </c>
      <c r="N18" s="317">
        <f ca="1">INDEX(FixtureMaintCosts,FixtureData!$C18)</f>
        <v>0</v>
      </c>
      <c r="O18" s="316">
        <f ca="1">INDEX(FixtureMaintInf,FixtureData!$C18)</f>
        <v>0</v>
      </c>
      <c r="P18" s="697">
        <f ca="1">INDEX(FixtureTilt,FixtureData!$C18)</f>
        <v>0</v>
      </c>
    </row>
    <row r="19" spans="1:16" s="22" customFormat="1">
      <c r="A19" s="265" t="s">
        <v>19</v>
      </c>
      <c r="B19" s="268" t="e">
        <f ca="1">INDEX(FixtureChoices,Ufixturechoice)</f>
        <v>#REF!</v>
      </c>
      <c r="C19" s="300">
        <v>57</v>
      </c>
      <c r="D19" s="22" t="s">
        <v>1081</v>
      </c>
      <c r="G19" s="303" t="e">
        <f ca="1">INDEX(FixtureWatts,FixtureData!C19)</f>
        <v>#REF!</v>
      </c>
      <c r="H19" s="304" t="e">
        <f ca="1">INDEX(FixtureLOM,FixtureData!C19)</f>
        <v>#REF!</v>
      </c>
      <c r="I19" s="305" t="e">
        <f ca="1">(FixtureData!G19/1000)*Costs!$C$8</f>
        <v>#REF!</v>
      </c>
      <c r="J19" s="305" t="e">
        <f ca="1">I19*'Road Geometry'!C77</f>
        <v>#REF!</v>
      </c>
      <c r="K19" s="317" t="e">
        <f ca="1">INDEX(FixtureEqCosts,FixtureData!$C19)</f>
        <v>#REF!</v>
      </c>
      <c r="L19" s="317" t="e">
        <f ca="1">INDEX(FixtureInstCosts,FixtureData!$C19)</f>
        <v>#REF!</v>
      </c>
      <c r="M19" s="317" t="e">
        <f ca="1">INDEX(FixtureRebCosts,FixtureData!$C19)</f>
        <v>#REF!</v>
      </c>
      <c r="N19" s="317" t="e">
        <f ca="1">INDEX(FixtureMaintCosts,FixtureData!$C19)</f>
        <v>#REF!</v>
      </c>
      <c r="O19" s="316" t="e">
        <f ca="1">INDEX(FixtureMaintInf,FixtureData!$C19)</f>
        <v>#REF!</v>
      </c>
      <c r="P19" s="697" t="e">
        <f ca="1">INDEX(FixtureTilt,FixtureData!$C19)</f>
        <v>#REF!</v>
      </c>
    </row>
    <row r="20" spans="1:16" s="22" customFormat="1">
      <c r="A20" s="266" t="s">
        <v>579</v>
      </c>
      <c r="B20" s="269" t="str">
        <f ca="1">'Delete IES'!$C$20</f>
        <v>AE - LED 238W Type III</v>
      </c>
    </row>
    <row r="21" spans="1:16" s="22" customFormat="1"/>
    <row r="22" spans="1:16" s="22" customFormat="1"/>
    <row r="23" spans="1:16" s="22" customFormat="1">
      <c r="A23" s="168" t="s">
        <v>1257</v>
      </c>
      <c r="B23" s="36" t="s">
        <v>1249</v>
      </c>
    </row>
    <row r="24" spans="1:16" s="22" customFormat="1"/>
    <row r="25" spans="1:16" s="22" customFormat="1"/>
    <row r="26" spans="1:16" s="22" customFormat="1"/>
    <row r="27" spans="1:16" s="22" customFormat="1"/>
    <row r="28" spans="1:16" s="22" customFormat="1"/>
    <row r="29" spans="1:16" s="22" customFormat="1"/>
    <row r="30" spans="1:16" s="22" customFormat="1" ht="15" customHeight="1"/>
    <row r="31" spans="1:16" s="22" customFormat="1" ht="15" customHeight="1"/>
    <row r="32" spans="1:16"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6.9510983701499311</v>
      </c>
      <c r="D4" s="383">
        <f>IF(FixtureData!$B$23="IES",'Lighting Standards'!$D$12,'Lighting Standards'!$H$12)</f>
        <v>0</v>
      </c>
    </row>
    <row r="5" spans="1:41" s="377" customFormat="1" ht="15" customHeight="1">
      <c r="A5" s="375"/>
      <c r="B5" s="376" t="str">
        <f>Translation!B269</f>
        <v>Minimum Illuminance</v>
      </c>
      <c r="C5" s="382">
        <f>MIN(B13:AO512)</f>
        <v>3.5417686856080124</v>
      </c>
      <c r="D5" s="383"/>
    </row>
    <row r="6" spans="1:41" s="377" customFormat="1" ht="15" customHeight="1">
      <c r="A6" s="375"/>
      <c r="B6" s="376" t="str">
        <f>Translation!B270</f>
        <v>Maximum Illuminance</v>
      </c>
      <c r="C6" s="382">
        <f>MAX(B13:AO512)</f>
        <v>13.214870570893206</v>
      </c>
      <c r="D6" s="383"/>
    </row>
    <row r="7" spans="1:41">
      <c r="B7" s="376" t="str">
        <f>Translation!B265</f>
        <v>Uniformity Ratio (Iavg/Imin)</v>
      </c>
      <c r="C7" s="382">
        <f>IF(FixtureData!B23="IES",IFERROR(C4/C5,0),IFERROR(C5/C4,0))</f>
        <v>0.509526480134048</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3364</v>
      </c>
      <c r="C12" s="434" t="s">
        <v>3365</v>
      </c>
      <c r="D12" s="434" t="s">
        <v>3366</v>
      </c>
      <c r="E12" s="434" t="s">
        <v>3364</v>
      </c>
      <c r="F12" s="434" t="s">
        <v>3365</v>
      </c>
      <c r="G12" s="434" t="s">
        <v>3366</v>
      </c>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6.888894796011753</v>
      </c>
      <c r="C13" s="383">
        <v>6.8901335322113626</v>
      </c>
      <c r="D13" s="383">
        <v>12.179575795965842</v>
      </c>
      <c r="E13" s="383">
        <v>12.179575795965842</v>
      </c>
      <c r="F13" s="383">
        <v>6.8901335322113626</v>
      </c>
      <c r="G13" s="383">
        <v>6.8888947960117548</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6.1654205212774427</v>
      </c>
      <c r="C14" s="383">
        <v>6.074479143987932</v>
      </c>
      <c r="D14" s="383">
        <v>10.101530429754581</v>
      </c>
      <c r="E14" s="383">
        <v>10.101530429754577</v>
      </c>
      <c r="F14" s="383">
        <v>6.074479143987932</v>
      </c>
      <c r="G14" s="383">
        <v>6.1654205212774436</v>
      </c>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4.5306762256977038</v>
      </c>
      <c r="C15" s="383">
        <v>5.7729563132299146</v>
      </c>
      <c r="D15" s="383">
        <v>8.4194588736494094</v>
      </c>
      <c r="E15" s="383">
        <v>8.4194588736494076</v>
      </c>
      <c r="F15" s="383">
        <v>5.7729563132299146</v>
      </c>
      <c r="G15" s="383">
        <v>4.5306762256977038</v>
      </c>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3.8017184323151985</v>
      </c>
      <c r="C16" s="383">
        <v>5.4790905557587566</v>
      </c>
      <c r="D16" s="383">
        <v>7.4860745665853337</v>
      </c>
      <c r="E16" s="383">
        <v>7.4860745665853337</v>
      </c>
      <c r="F16" s="383">
        <v>5.4790905557587566</v>
      </c>
      <c r="G16" s="383">
        <v>3.8017184323151985</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3.5828091968215632</v>
      </c>
      <c r="C17" s="383">
        <v>4.9762440730502995</v>
      </c>
      <c r="D17" s="383">
        <v>7.0162386537018939</v>
      </c>
      <c r="E17" s="383">
        <v>7.0162386537018939</v>
      </c>
      <c r="F17" s="383">
        <v>4.9762440730503004</v>
      </c>
      <c r="G17" s="383">
        <v>3.5828091968215627</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3.5417686856080124</v>
      </c>
      <c r="C18" s="383">
        <v>4.8266078306718976</v>
      </c>
      <c r="D18" s="383">
        <v>6.9442800584312039</v>
      </c>
      <c r="E18" s="383">
        <v>6.9442800584312039</v>
      </c>
      <c r="F18" s="383">
        <v>4.8266078306718976</v>
      </c>
      <c r="G18" s="383">
        <v>3.5417686856080124</v>
      </c>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3.7109988979562032</v>
      </c>
      <c r="C19" s="383">
        <v>5.3040598142073598</v>
      </c>
      <c r="D19" s="383">
        <v>7.2896429503412863</v>
      </c>
      <c r="E19" s="383">
        <v>7.2896429503412863</v>
      </c>
      <c r="F19" s="383">
        <v>5.3040598142073598</v>
      </c>
      <c r="G19" s="383">
        <v>3.7109988979562036</v>
      </c>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4.1441120542582466</v>
      </c>
      <c r="C20" s="383">
        <v>5.7691476751901263</v>
      </c>
      <c r="D20" s="383">
        <v>8.0199014787767489</v>
      </c>
      <c r="E20" s="383">
        <v>8.0199014787767471</v>
      </c>
      <c r="F20" s="383">
        <v>5.7691476751901263</v>
      </c>
      <c r="G20" s="383">
        <v>4.1441120542582457</v>
      </c>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5.706859683447111</v>
      </c>
      <c r="C21" s="383">
        <v>5.9314293083257175</v>
      </c>
      <c r="D21" s="383">
        <v>9.4307748704190626</v>
      </c>
      <c r="E21" s="383">
        <v>9.4307748704190626</v>
      </c>
      <c r="F21" s="383">
        <v>5.9314293083257175</v>
      </c>
      <c r="G21" s="383">
        <v>5.7068596834471137</v>
      </c>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6.7428641398038387</v>
      </c>
      <c r="C22" s="383">
        <v>6.5898315394500697</v>
      </c>
      <c r="D22" s="383">
        <v>11.505837345363089</v>
      </c>
      <c r="E22" s="383">
        <v>11.505837345363087</v>
      </c>
      <c r="F22" s="383">
        <v>6.5898315394500697</v>
      </c>
      <c r="G22" s="383">
        <v>6.7428641398038396</v>
      </c>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v>7.2027668054300511</v>
      </c>
      <c r="C23" s="383">
        <v>7.3117126808247779</v>
      </c>
      <c r="D23" s="383">
        <v>13.214870570893206</v>
      </c>
      <c r="E23" s="383">
        <v>13.214870570893206</v>
      </c>
      <c r="F23" s="383">
        <v>7.3117126808247779</v>
      </c>
      <c r="G23" s="383">
        <v>7.2027668054300511</v>
      </c>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v>7.1851277669280194</v>
      </c>
      <c r="C24" s="383">
        <v>7.2973597031038882</v>
      </c>
      <c r="D24" s="383">
        <v>13.204286355948652</v>
      </c>
      <c r="E24" s="383">
        <v>13.204286355948652</v>
      </c>
      <c r="F24" s="383">
        <v>7.2973597031038882</v>
      </c>
      <c r="G24" s="383">
        <v>7.1851277669280194</v>
      </c>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0.44681078035770772</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0.19938154825263635</v>
      </c>
      <c r="D5" s="383"/>
    </row>
    <row r="6" spans="1:70" s="377" customFormat="1" ht="15" customHeight="1">
      <c r="A6" s="375"/>
      <c r="B6" s="376" t="str">
        <f>Translation!B273</f>
        <v>Maximum Luminance</v>
      </c>
      <c r="C6" s="382">
        <f>IF(FixtureData!$B$23="CIE",MIN('Luminance Calcs CIE'!C:C),MAX(B13:AO512))</f>
        <v>0.66308798681159031</v>
      </c>
      <c r="D6" s="383"/>
    </row>
    <row r="7" spans="1:70" ht="30">
      <c r="B7" s="436" t="str">
        <f>Translation!B267</f>
        <v>Uniformity Ratio (IES - lavg/lmin; CIE - lmin/lavg)</v>
      </c>
      <c r="C7" s="382">
        <f>IFERROR(IF(FixtureData!$B$23="CIE",MIN('Luminance Calcs CIE'!D:D),C4/C5),0)</f>
        <v>0.4462326269142734</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0.81836447421022107</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60"/>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3342</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t="s">
        <v>3352</v>
      </c>
      <c r="G12" s="431" t="s">
        <v>3353</v>
      </c>
      <c r="H12" s="431" t="s">
        <v>3354</v>
      </c>
      <c r="I12" s="431" t="s">
        <v>3355</v>
      </c>
      <c r="J12" s="431" t="s">
        <v>3356</v>
      </c>
      <c r="K12" s="431" t="s">
        <v>3357</v>
      </c>
      <c r="L12" s="431" t="s">
        <v>3358</v>
      </c>
      <c r="M12" s="431" t="s">
        <v>3359</v>
      </c>
      <c r="N12" s="431" t="s">
        <v>3360</v>
      </c>
      <c r="O12" s="431" t="s">
        <v>3361</v>
      </c>
      <c r="P12" s="431" t="s">
        <v>3362</v>
      </c>
      <c r="Q12" s="431" t="s">
        <v>3363</v>
      </c>
    </row>
    <row r="13" spans="1:57" ht="15.75" customHeight="1">
      <c r="A13" s="108">
        <v>0.47837305625711846</v>
      </c>
      <c r="B13" s="108">
        <v>0.2221194201134665</v>
      </c>
      <c r="C13" s="108">
        <v>0.87813793492269332</v>
      </c>
      <c r="D13" s="108">
        <v>0.46432259762155287</v>
      </c>
      <c r="E13" s="108">
        <v>0.8183644742102214</v>
      </c>
      <c r="F13" s="390">
        <v>0.34574007029020354</v>
      </c>
      <c r="G13" s="108">
        <v>0.37244317340455396</v>
      </c>
      <c r="H13" s="108">
        <v>0.37541887501831916</v>
      </c>
      <c r="I13" s="108">
        <v>0.43484784219959999</v>
      </c>
      <c r="J13" s="108">
        <v>0.57390286654530398</v>
      </c>
      <c r="K13" s="108">
        <v>0.70388253892857633</v>
      </c>
      <c r="L13" s="108">
        <v>0.83604553838672657</v>
      </c>
      <c r="M13" s="108">
        <v>0.77709923562890981</v>
      </c>
      <c r="N13" s="108">
        <v>0.49931527123031605</v>
      </c>
      <c r="O13" s="108">
        <v>0.33784592681004871</v>
      </c>
      <c r="P13" s="108">
        <v>0.29520937091449995</v>
      </c>
      <c r="Q13" s="108">
        <v>0.27739108790288403</v>
      </c>
    </row>
    <row r="14" spans="1:57">
      <c r="F14" s="390">
        <v>0.34834572885073556</v>
      </c>
      <c r="G14" s="108">
        <v>0.37224511587329018</v>
      </c>
      <c r="H14" s="108">
        <v>0.37559635551357917</v>
      </c>
      <c r="I14" s="108">
        <v>0.435479538312875</v>
      </c>
      <c r="J14" s="108">
        <v>0.5428320931702123</v>
      </c>
      <c r="K14" s="108">
        <v>0.66632972852325045</v>
      </c>
      <c r="L14" s="108">
        <v>0.79032500243945614</v>
      </c>
      <c r="M14" s="108">
        <v>0.76321302158555615</v>
      </c>
      <c r="N14" s="108">
        <v>0.52997983593636866</v>
      </c>
      <c r="O14" s="108">
        <v>0.34103635700545448</v>
      </c>
      <c r="P14" s="108">
        <v>0.28635799798377792</v>
      </c>
      <c r="Q14" s="108">
        <v>0.27379158249616792</v>
      </c>
    </row>
    <row r="15" spans="1:57">
      <c r="F15" s="390">
        <v>0.30310879757854109</v>
      </c>
      <c r="G15" s="108">
        <v>0.3579336238027202</v>
      </c>
      <c r="H15" s="108">
        <v>0.39726372277794159</v>
      </c>
      <c r="I15" s="108">
        <v>0.45944840623256472</v>
      </c>
      <c r="J15" s="108">
        <v>0.55144237311183342</v>
      </c>
      <c r="K15" s="108">
        <v>0.65924583836368222</v>
      </c>
      <c r="L15" s="108">
        <v>0.76919967042139348</v>
      </c>
      <c r="M15" s="108">
        <v>0.75786752280167669</v>
      </c>
      <c r="N15" s="108">
        <v>0.57158133289676261</v>
      </c>
      <c r="O15" s="108">
        <v>0.375456011739559</v>
      </c>
      <c r="P15" s="108">
        <v>0.27622947330101066</v>
      </c>
      <c r="Q15" s="108">
        <v>0.23358757486371828</v>
      </c>
      <c r="BE15" s="705"/>
    </row>
    <row r="16" spans="1:57">
      <c r="F16" s="390">
        <v>0.30219582587383848</v>
      </c>
      <c r="G16" s="108">
        <v>0.34028897089642751</v>
      </c>
      <c r="H16" s="108">
        <v>0.40228595148197482</v>
      </c>
      <c r="I16" s="108">
        <v>0.48573290477830094</v>
      </c>
      <c r="J16" s="108">
        <v>0.57571392629400875</v>
      </c>
      <c r="K16" s="108">
        <v>0.67345498421332595</v>
      </c>
      <c r="L16" s="108">
        <v>0.76128361004847267</v>
      </c>
      <c r="M16" s="108">
        <v>0.74973770478851465</v>
      </c>
      <c r="N16" s="108">
        <v>0.60262544242302518</v>
      </c>
      <c r="O16" s="108">
        <v>0.39944643572059813</v>
      </c>
      <c r="P16" s="108">
        <v>0.27008578359772434</v>
      </c>
      <c r="Q16" s="108">
        <v>0.229500959536419</v>
      </c>
    </row>
    <row r="17" spans="1:57">
      <c r="F17" s="390">
        <v>0.29401772635894069</v>
      </c>
      <c r="G17" s="108">
        <v>0.34631542852176517</v>
      </c>
      <c r="H17" s="108">
        <v>0.37595516284217995</v>
      </c>
      <c r="I17" s="108">
        <v>0.47177779041320383</v>
      </c>
      <c r="J17" s="108">
        <v>0.57698233999470738</v>
      </c>
      <c r="K17" s="108">
        <v>0.67119445732789984</v>
      </c>
      <c r="L17" s="108">
        <v>0.74929826364014052</v>
      </c>
      <c r="M17" s="108">
        <v>0.72696635224263206</v>
      </c>
      <c r="N17" s="108">
        <v>0.58898096969390523</v>
      </c>
      <c r="O17" s="108">
        <v>0.37403345053088199</v>
      </c>
      <c r="P17" s="108">
        <v>0.27562012179432538</v>
      </c>
      <c r="Q17" s="108">
        <v>0.22218149057458747</v>
      </c>
    </row>
    <row r="18" spans="1:57">
      <c r="F18" s="390">
        <v>0.25938815030637624</v>
      </c>
      <c r="G18" s="108">
        <v>0.34194596648348791</v>
      </c>
      <c r="H18" s="108">
        <v>0.38022688945900474</v>
      </c>
      <c r="I18" s="108">
        <v>0.46741230688698571</v>
      </c>
      <c r="J18" s="108">
        <v>0.57155501488172666</v>
      </c>
      <c r="K18" s="108">
        <v>0.67212022729278176</v>
      </c>
      <c r="L18" s="108">
        <v>0.76231424422040273</v>
      </c>
      <c r="M18" s="108">
        <v>0.69573278683690132</v>
      </c>
      <c r="N18" s="108">
        <v>0.31516283903961295</v>
      </c>
      <c r="O18" s="108">
        <v>0.30614822018366716</v>
      </c>
      <c r="P18" s="108">
        <v>0.27573038361891777</v>
      </c>
      <c r="Q18" s="108">
        <v>0.2221194201134665</v>
      </c>
    </row>
    <row r="19" spans="1:57">
      <c r="F19" s="390">
        <v>0.31505978267484858</v>
      </c>
      <c r="G19" s="108">
        <v>0.34205862503969736</v>
      </c>
      <c r="H19" s="108">
        <v>0.38453996944276281</v>
      </c>
      <c r="I19" s="108">
        <v>0.49882298342443032</v>
      </c>
      <c r="J19" s="108">
        <v>0.59050155762541046</v>
      </c>
      <c r="K19" s="108">
        <v>0.68434453860050726</v>
      </c>
      <c r="L19" s="108">
        <v>0.79015936932366315</v>
      </c>
      <c r="M19" s="108">
        <v>0.67236481270338067</v>
      </c>
      <c r="N19" s="108">
        <v>0.57528421468545976</v>
      </c>
      <c r="O19" s="108">
        <v>0.39671818478590409</v>
      </c>
      <c r="P19" s="108">
        <v>0.28792152778631075</v>
      </c>
      <c r="Q19" s="108">
        <v>0.24129642136129045</v>
      </c>
    </row>
    <row r="20" spans="1:57">
      <c r="F20" s="390">
        <v>0.33270686391822735</v>
      </c>
      <c r="G20" s="108">
        <v>0.38231435477843873</v>
      </c>
      <c r="H20" s="108">
        <v>0.41674332249650303</v>
      </c>
      <c r="I20" s="108">
        <v>0.4584345056565669</v>
      </c>
      <c r="J20" s="108">
        <v>0.55359101796161636</v>
      </c>
      <c r="K20" s="108">
        <v>0.68255621724525084</v>
      </c>
      <c r="L20" s="108">
        <v>0.79572123770736103</v>
      </c>
      <c r="M20" s="108">
        <v>0.6173655302336013</v>
      </c>
      <c r="N20" s="108">
        <v>0.50150282097082588</v>
      </c>
      <c r="O20" s="108">
        <v>0.41392130167925212</v>
      </c>
      <c r="P20" s="108">
        <v>0.33082606943057979</v>
      </c>
      <c r="Q20" s="108">
        <v>0.27066052660788176</v>
      </c>
    </row>
    <row r="21" spans="1:57">
      <c r="F21" s="390">
        <v>0.43206307435461377</v>
      </c>
      <c r="G21" s="108">
        <v>0.41581591286062364</v>
      </c>
      <c r="H21" s="108">
        <v>0.38165781386462255</v>
      </c>
      <c r="I21" s="108">
        <v>0.43023304450278776</v>
      </c>
      <c r="J21" s="108">
        <v>0.54589573683537751</v>
      </c>
      <c r="K21" s="108">
        <v>0.67968527357650976</v>
      </c>
      <c r="L21" s="108">
        <v>0.82893300958051785</v>
      </c>
      <c r="M21" s="108">
        <v>0.6365503573743948</v>
      </c>
      <c r="N21" s="108">
        <v>0.42508209134399394</v>
      </c>
      <c r="O21" s="108">
        <v>0.35419201381609638</v>
      </c>
      <c r="P21" s="108">
        <v>0.37571248348539343</v>
      </c>
      <c r="Q21" s="108">
        <v>0.39075839850035321</v>
      </c>
    </row>
    <row r="22" spans="1:57">
      <c r="F22" s="390">
        <v>0.37867954072701726</v>
      </c>
      <c r="G22" s="108">
        <v>0.38487042613963351</v>
      </c>
      <c r="H22" s="108">
        <v>0.36774414024312752</v>
      </c>
      <c r="I22" s="108">
        <v>0.42577720238102029</v>
      </c>
      <c r="J22" s="108">
        <v>0.57020139402051051</v>
      </c>
      <c r="K22" s="108">
        <v>0.70918837281497049</v>
      </c>
      <c r="L22" s="108">
        <v>0.85694097705020356</v>
      </c>
      <c r="M22" s="108">
        <v>0.68557865541773777</v>
      </c>
      <c r="N22" s="108">
        <v>0.42723338802692101</v>
      </c>
      <c r="O22" s="108">
        <v>0.3286837460212334</v>
      </c>
      <c r="P22" s="108">
        <v>0.32967250993747926</v>
      </c>
      <c r="Q22" s="108">
        <v>0.33363489567296678</v>
      </c>
    </row>
    <row r="23" spans="1:57">
      <c r="F23" s="390">
        <v>0.34229470743329321</v>
      </c>
      <c r="G23" s="108">
        <v>0.3721437861463272</v>
      </c>
      <c r="H23" s="108">
        <v>0.37169456340805174</v>
      </c>
      <c r="I23" s="108">
        <v>0.43770657999981183</v>
      </c>
      <c r="J23" s="108">
        <v>0.59413292009781593</v>
      </c>
      <c r="K23" s="108">
        <v>0.72836352276362759</v>
      </c>
      <c r="L23" s="108">
        <v>0.87813793492269332</v>
      </c>
      <c r="M23" s="108">
        <v>0.73059511110644249</v>
      </c>
      <c r="N23" s="108">
        <v>0.44899988332165985</v>
      </c>
      <c r="O23" s="108">
        <v>0.32618049047009712</v>
      </c>
      <c r="P23" s="108">
        <v>0.30764662811098442</v>
      </c>
      <c r="Q23" s="108">
        <v>0.28956763103805505</v>
      </c>
    </row>
    <row r="24" spans="1:57">
      <c r="F24" s="390">
        <v>0.33590604506054933</v>
      </c>
      <c r="G24" s="108">
        <v>0.3657555855272136</v>
      </c>
      <c r="H24" s="108">
        <v>0.37270061878256966</v>
      </c>
      <c r="I24" s="108">
        <v>0.43673696898060033</v>
      </c>
      <c r="J24" s="108">
        <v>0.58689426241933307</v>
      </c>
      <c r="K24" s="108">
        <v>0.72241796998210739</v>
      </c>
      <c r="L24" s="108">
        <v>0.85874538834529535</v>
      </c>
      <c r="M24" s="108">
        <v>0.76721483777595245</v>
      </c>
      <c r="N24" s="108">
        <v>0.47853718229731995</v>
      </c>
      <c r="O24" s="108">
        <v>0.331827106695195</v>
      </c>
      <c r="P24" s="108">
        <v>0.29456588806132045</v>
      </c>
      <c r="Q24" s="108">
        <v>0.27418326783768632</v>
      </c>
    </row>
    <row r="25" spans="1:57">
      <c r="A25" s="108">
        <v>0.46163030225888274</v>
      </c>
      <c r="B25" s="108">
        <v>0.23407985413173935</v>
      </c>
      <c r="C25" s="108">
        <v>0.70743889972266849</v>
      </c>
      <c r="D25" s="108">
        <v>0.50707211590383672</v>
      </c>
      <c r="E25" s="108">
        <v>0.90974196229032733</v>
      </c>
      <c r="F25" s="390">
        <v>0.30499824106738227</v>
      </c>
      <c r="G25" s="108">
        <v>0.36659702360767765</v>
      </c>
      <c r="H25" s="108">
        <v>0.42010802595098901</v>
      </c>
      <c r="I25" s="108">
        <v>0.46088659382736524</v>
      </c>
      <c r="J25" s="108">
        <v>0.53831314790565399</v>
      </c>
      <c r="K25" s="108">
        <v>0.6125243002022821</v>
      </c>
      <c r="L25" s="108">
        <v>0.68976778474115852</v>
      </c>
      <c r="M25" s="108">
        <v>0.67914871597505</v>
      </c>
      <c r="N25" s="108">
        <v>0.5778063885501129</v>
      </c>
      <c r="O25" s="108">
        <v>0.40143798481162518</v>
      </c>
      <c r="P25" s="108">
        <v>0.31945104659036816</v>
      </c>
      <c r="Q25" s="108">
        <v>0.28807617659887563</v>
      </c>
    </row>
    <row r="26" spans="1:57">
      <c r="F26" s="390">
        <v>0.30812920543684963</v>
      </c>
      <c r="G26" s="108">
        <v>0.3664194262588209</v>
      </c>
      <c r="H26" s="108">
        <v>0.41319478868356563</v>
      </c>
      <c r="I26" s="108">
        <v>0.46048455015189677</v>
      </c>
      <c r="J26" s="108">
        <v>0.50930911592571304</v>
      </c>
      <c r="K26" s="108">
        <v>0.57446744405617856</v>
      </c>
      <c r="L26" s="108">
        <v>0.6480546466421363</v>
      </c>
      <c r="M26" s="108">
        <v>0.65294248803095989</v>
      </c>
      <c r="N26" s="108">
        <v>0.58228492082496242</v>
      </c>
      <c r="O26" s="108">
        <v>0.40819710724607883</v>
      </c>
      <c r="P26" s="108">
        <v>0.31742367630880625</v>
      </c>
      <c r="Q26" s="108">
        <v>0.28679244971271045</v>
      </c>
    </row>
    <row r="27" spans="1:57">
      <c r="F27" s="390">
        <v>0.26746725188089232</v>
      </c>
      <c r="G27" s="108">
        <v>0.35483977965900781</v>
      </c>
      <c r="H27" s="108">
        <v>0.43493662876572647</v>
      </c>
      <c r="I27" s="108">
        <v>0.47391499885087385</v>
      </c>
      <c r="J27" s="108">
        <v>0.51631798267579876</v>
      </c>
      <c r="K27" s="108">
        <v>0.56668786723166586</v>
      </c>
      <c r="L27" s="108">
        <v>0.63895563809705258</v>
      </c>
      <c r="M27" s="108">
        <v>0.65421847144069367</v>
      </c>
      <c r="N27" s="108">
        <v>0.58815858062143578</v>
      </c>
      <c r="O27" s="108">
        <v>0.44121598520420219</v>
      </c>
      <c r="P27" s="108">
        <v>0.3106642375894168</v>
      </c>
      <c r="Q27" s="108">
        <v>0.24647545703117865</v>
      </c>
      <c r="BE27" s="705"/>
    </row>
    <row r="28" spans="1:57">
      <c r="F28" s="390">
        <v>0.26667231571872002</v>
      </c>
      <c r="G28" s="108">
        <v>0.33153141953091519</v>
      </c>
      <c r="H28" s="108">
        <v>0.43908290234637681</v>
      </c>
      <c r="I28" s="108">
        <v>0.49105851987881727</v>
      </c>
      <c r="J28" s="108">
        <v>0.53734147589965087</v>
      </c>
      <c r="K28" s="108">
        <v>0.57782440348699593</v>
      </c>
      <c r="L28" s="108">
        <v>0.6514141120860335</v>
      </c>
      <c r="M28" s="108">
        <v>0.6632262368133679</v>
      </c>
      <c r="N28" s="108">
        <v>0.59615650751392502</v>
      </c>
      <c r="O28" s="108">
        <v>0.45020157990017984</v>
      </c>
      <c r="P28" s="108">
        <v>0.30084617735355018</v>
      </c>
      <c r="Q28" s="108">
        <v>0.24467095109665368</v>
      </c>
    </row>
    <row r="29" spans="1:57">
      <c r="F29" s="390">
        <v>0.25618245612869056</v>
      </c>
      <c r="G29" s="108">
        <v>0.32523475305460531</v>
      </c>
      <c r="H29" s="108">
        <v>0.39976211748345108</v>
      </c>
      <c r="I29" s="108">
        <v>0.48469256550315587</v>
      </c>
      <c r="J29" s="108">
        <v>0.5338936809199234</v>
      </c>
      <c r="K29" s="108">
        <v>0.56437957314242926</v>
      </c>
      <c r="L29" s="108">
        <v>0.64541545486547514</v>
      </c>
      <c r="M29" s="108">
        <v>0.65882277537230116</v>
      </c>
      <c r="N29" s="108">
        <v>0.57861321628852735</v>
      </c>
      <c r="O29" s="108">
        <v>0.40674390275821826</v>
      </c>
      <c r="P29" s="108">
        <v>0.309392761562582</v>
      </c>
      <c r="Q29" s="108">
        <v>0.24155173647006464</v>
      </c>
    </row>
    <row r="30" spans="1:57">
      <c r="F30" s="390">
        <v>0.2545782579289449</v>
      </c>
      <c r="G30" s="108">
        <v>0.23407985413173935</v>
      </c>
      <c r="H30" s="108">
        <v>0.39238760476224482</v>
      </c>
      <c r="I30" s="108">
        <v>0.4846712473343765</v>
      </c>
      <c r="J30" s="108">
        <v>0.53072109643752918</v>
      </c>
      <c r="K30" s="108">
        <v>0.56085293313698881</v>
      </c>
      <c r="L30" s="108">
        <v>0.64145504020197563</v>
      </c>
      <c r="M30" s="108">
        <v>0.66380583059839993</v>
      </c>
      <c r="N30" s="108">
        <v>0.56005112795796042</v>
      </c>
      <c r="O30" s="108">
        <v>0.29015674384477597</v>
      </c>
      <c r="P30" s="108">
        <v>0.28569521494362782</v>
      </c>
      <c r="Q30" s="108">
        <v>0.24223790303019438</v>
      </c>
    </row>
    <row r="31" spans="1:57">
      <c r="F31" s="390">
        <v>0.27910303511227358</v>
      </c>
      <c r="G31" s="108">
        <v>0.33676626779591468</v>
      </c>
      <c r="H31" s="108">
        <v>0.40488582084917635</v>
      </c>
      <c r="I31" s="108">
        <v>0.50274267642087522</v>
      </c>
      <c r="J31" s="108">
        <v>0.5476410102390542</v>
      </c>
      <c r="K31" s="108">
        <v>0.57362075087506681</v>
      </c>
      <c r="L31" s="108">
        <v>0.66146283910569115</v>
      </c>
      <c r="M31" s="108">
        <v>0.66423960324178166</v>
      </c>
      <c r="N31" s="108">
        <v>0.57234231845233441</v>
      </c>
      <c r="O31" s="108">
        <v>0.4080754390603708</v>
      </c>
      <c r="P31" s="108">
        <v>0.31691558156495214</v>
      </c>
      <c r="Q31" s="108">
        <v>0.25806294318808348</v>
      </c>
    </row>
    <row r="32" spans="1:57">
      <c r="F32" s="390">
        <v>0.30090336747564611</v>
      </c>
      <c r="G32" s="108">
        <v>0.3725458099128065</v>
      </c>
      <c r="H32" s="108">
        <v>0.45003196945032797</v>
      </c>
      <c r="I32" s="108">
        <v>0.47557109986558549</v>
      </c>
      <c r="J32" s="108">
        <v>0.51172019838633676</v>
      </c>
      <c r="K32" s="108">
        <v>0.56407412308065963</v>
      </c>
      <c r="L32" s="108">
        <v>0.64847370220374068</v>
      </c>
      <c r="M32" s="108">
        <v>0.62891069155454948</v>
      </c>
      <c r="N32" s="108">
        <v>0.52723454581663054</v>
      </c>
      <c r="O32" s="108">
        <v>0.43369241171544187</v>
      </c>
      <c r="P32" s="108">
        <v>0.34699728659210077</v>
      </c>
      <c r="Q32" s="108">
        <v>0.28726051241578238</v>
      </c>
    </row>
    <row r="33" spans="1:57">
      <c r="F33" s="390">
        <v>0.39222443610852398</v>
      </c>
      <c r="G33" s="108">
        <v>0.39589271491155009</v>
      </c>
      <c r="H33" s="108">
        <v>0.40469863200729522</v>
      </c>
      <c r="I33" s="108">
        <v>0.43374203415698059</v>
      </c>
      <c r="J33" s="108">
        <v>0.5109587458092103</v>
      </c>
      <c r="K33" s="108">
        <v>0.5729336082210138</v>
      </c>
      <c r="L33" s="108">
        <v>0.65828102942466815</v>
      </c>
      <c r="M33" s="108">
        <v>0.64812956032699776</v>
      </c>
      <c r="N33" s="108">
        <v>0.49425566812526472</v>
      </c>
      <c r="O33" s="108">
        <v>0.37848727054497139</v>
      </c>
      <c r="P33" s="108">
        <v>0.38499789060763973</v>
      </c>
      <c r="Q33" s="108">
        <v>0.39857830131213501</v>
      </c>
    </row>
    <row r="34" spans="1:57">
      <c r="F34" s="390">
        <v>0.34418328645947144</v>
      </c>
      <c r="G34" s="108">
        <v>0.37236984297499831</v>
      </c>
      <c r="H34" s="108">
        <v>0.40123957765268087</v>
      </c>
      <c r="I34" s="108">
        <v>0.43144532294955434</v>
      </c>
      <c r="J34" s="108">
        <v>0.53486897221190133</v>
      </c>
      <c r="K34" s="108">
        <v>0.61251579601376038</v>
      </c>
      <c r="L34" s="108">
        <v>0.68389660270818931</v>
      </c>
      <c r="M34" s="108">
        <v>0.66820675566183785</v>
      </c>
      <c r="N34" s="108">
        <v>0.51718073959932298</v>
      </c>
      <c r="O34" s="108">
        <v>0.36404581277972059</v>
      </c>
      <c r="P34" s="108">
        <v>0.3419604737437294</v>
      </c>
      <c r="Q34" s="108">
        <v>0.33941797659495021</v>
      </c>
    </row>
    <row r="35" spans="1:57">
      <c r="F35" s="390">
        <v>0.30993512595818518</v>
      </c>
      <c r="G35" s="108">
        <v>0.36271193821701098</v>
      </c>
      <c r="H35" s="108">
        <v>0.41138479655984689</v>
      </c>
      <c r="I35" s="108">
        <v>0.45235971037403955</v>
      </c>
      <c r="J35" s="108">
        <v>0.55983909398165854</v>
      </c>
      <c r="K35" s="108">
        <v>0.63465608396306528</v>
      </c>
      <c r="L35" s="108">
        <v>0.70743889972266849</v>
      </c>
      <c r="M35" s="108">
        <v>0.68787272181715209</v>
      </c>
      <c r="N35" s="108">
        <v>0.55166126835710649</v>
      </c>
      <c r="O35" s="108">
        <v>0.37405505698805391</v>
      </c>
      <c r="P35" s="108">
        <v>0.32227274726032928</v>
      </c>
      <c r="Q35" s="108">
        <v>0.29576664266855529</v>
      </c>
    </row>
    <row r="36" spans="1:57">
      <c r="F36" s="390">
        <v>0.29853852641410716</v>
      </c>
      <c r="G36" s="108">
        <v>0.36011493346123191</v>
      </c>
      <c r="H36" s="108">
        <v>0.41783762971213556</v>
      </c>
      <c r="I36" s="108">
        <v>0.45839831064234943</v>
      </c>
      <c r="J36" s="108">
        <v>0.55439798517307204</v>
      </c>
      <c r="K36" s="108">
        <v>0.62899568716355114</v>
      </c>
      <c r="L36" s="108">
        <v>0.70514310558928439</v>
      </c>
      <c r="M36" s="108">
        <v>0.68926426167752286</v>
      </c>
      <c r="N36" s="108">
        <v>0.56932639296105647</v>
      </c>
      <c r="O36" s="108">
        <v>0.39085691305386833</v>
      </c>
      <c r="P36" s="108">
        <v>0.31517591546147422</v>
      </c>
      <c r="Q36" s="108">
        <v>0.28290214518170348</v>
      </c>
    </row>
    <row r="37" spans="1:57">
      <c r="A37" s="108">
        <v>0.44865473051555466</v>
      </c>
      <c r="B37" s="108">
        <v>0.21849965275193786</v>
      </c>
      <c r="C37" s="108">
        <v>0.66308798681159031</v>
      </c>
      <c r="D37" s="108">
        <v>0.48701069640089883</v>
      </c>
      <c r="E37" s="108">
        <v>0.909741962290327</v>
      </c>
      <c r="F37" s="390">
        <v>0.27635930136341935</v>
      </c>
      <c r="G37" s="108">
        <v>0.31264025367454629</v>
      </c>
      <c r="H37" s="108">
        <v>0.4098792236399052</v>
      </c>
      <c r="I37" s="108">
        <v>0.54327974697789794</v>
      </c>
      <c r="J37" s="108">
        <v>0.6230486275299697</v>
      </c>
      <c r="K37" s="108">
        <v>0.63919019667049215</v>
      </c>
      <c r="L37" s="108">
        <v>0.59835414702604273</v>
      </c>
      <c r="M37" s="108">
        <v>0.53831314790565399</v>
      </c>
      <c r="N37" s="108">
        <v>0.4703714948657241</v>
      </c>
      <c r="O37" s="108">
        <v>0.43199980056557924</v>
      </c>
      <c r="P37" s="108">
        <v>0.37082891128131762</v>
      </c>
      <c r="Q37" s="108">
        <v>0.31361895145489288</v>
      </c>
    </row>
    <row r="38" spans="1:57">
      <c r="F38" s="390">
        <v>0.27550188129977848</v>
      </c>
      <c r="G38" s="108">
        <v>0.31355094773262554</v>
      </c>
      <c r="H38" s="108">
        <v>0.41124196003896712</v>
      </c>
      <c r="I38" s="108">
        <v>0.53164344335830571</v>
      </c>
      <c r="J38" s="108">
        <v>0.58606060117838144</v>
      </c>
      <c r="K38" s="108">
        <v>0.60047097882492584</v>
      </c>
      <c r="L38" s="108">
        <v>0.55947505793425645</v>
      </c>
      <c r="M38" s="108">
        <v>0.50930911592571293</v>
      </c>
      <c r="N38" s="108">
        <v>0.47193418807580034</v>
      </c>
      <c r="O38" s="108">
        <v>0.42732182916882727</v>
      </c>
      <c r="P38" s="108">
        <v>0.37250620559971409</v>
      </c>
      <c r="Q38" s="108">
        <v>0.31641719239601129</v>
      </c>
    </row>
    <row r="39" spans="1:57">
      <c r="F39" s="390">
        <v>0.23312030195535924</v>
      </c>
      <c r="G39" s="108">
        <v>0.308550664163108</v>
      </c>
      <c r="H39" s="108">
        <v>0.43916351577648227</v>
      </c>
      <c r="I39" s="108">
        <v>0.53783447900383274</v>
      </c>
      <c r="J39" s="108">
        <v>0.57729063739673603</v>
      </c>
      <c r="K39" s="108">
        <v>0.59086131576377765</v>
      </c>
      <c r="L39" s="108">
        <v>0.55173562306118473</v>
      </c>
      <c r="M39" s="108">
        <v>0.51631798267579887</v>
      </c>
      <c r="N39" s="108">
        <v>0.48741477391454108</v>
      </c>
      <c r="O39" s="108">
        <v>0.44927871587454665</v>
      </c>
      <c r="P39" s="108">
        <v>0.35910434357722071</v>
      </c>
      <c r="Q39" s="108">
        <v>0.27560756525357005</v>
      </c>
      <c r="BE39" s="705"/>
    </row>
    <row r="40" spans="1:57">
      <c r="F40" s="390">
        <v>0.22478242644063734</v>
      </c>
      <c r="G40" s="108">
        <v>0.29220725760496008</v>
      </c>
      <c r="H40" s="108">
        <v>0.4403764120787661</v>
      </c>
      <c r="I40" s="108">
        <v>0.5443720098017002</v>
      </c>
      <c r="J40" s="108">
        <v>0.58870456185149933</v>
      </c>
      <c r="K40" s="108">
        <v>0.59727299378190912</v>
      </c>
      <c r="L40" s="108">
        <v>0.56238578261260774</v>
      </c>
      <c r="M40" s="108">
        <v>0.53734147589965087</v>
      </c>
      <c r="N40" s="108">
        <v>0.50468316136737001</v>
      </c>
      <c r="O40" s="108">
        <v>0.45299957234745453</v>
      </c>
      <c r="P40" s="108">
        <v>0.33838296073583607</v>
      </c>
      <c r="Q40" s="108">
        <v>0.27653376238373512</v>
      </c>
    </row>
    <row r="41" spans="1:57">
      <c r="F41" s="390">
        <v>0.21849965275193786</v>
      </c>
      <c r="G41" s="108">
        <v>0.28400460375122083</v>
      </c>
      <c r="H41" s="108">
        <v>0.37406384227978373</v>
      </c>
      <c r="I41" s="108">
        <v>0.52132857876417626</v>
      </c>
      <c r="J41" s="108">
        <v>0.59119902139526648</v>
      </c>
      <c r="K41" s="108">
        <v>0.58729021987241836</v>
      </c>
      <c r="L41" s="108">
        <v>0.54699536562899775</v>
      </c>
      <c r="M41" s="108">
        <v>0.53389368091992362</v>
      </c>
      <c r="N41" s="108">
        <v>0.49722633193961469</v>
      </c>
      <c r="O41" s="108">
        <v>0.41455522975150838</v>
      </c>
      <c r="P41" s="108">
        <v>0.34238372507082954</v>
      </c>
      <c r="Q41" s="108">
        <v>0.27515531804089949</v>
      </c>
    </row>
    <row r="42" spans="1:57">
      <c r="F42" s="390">
        <v>0.23075462197557683</v>
      </c>
      <c r="G42" s="108">
        <v>0.22320506740529969</v>
      </c>
      <c r="H42" s="108">
        <v>0.32743283296916814</v>
      </c>
      <c r="I42" s="108">
        <v>0.51140422383324968</v>
      </c>
      <c r="J42" s="108">
        <v>0.58899675546216912</v>
      </c>
      <c r="K42" s="108">
        <v>0.5816021646484334</v>
      </c>
      <c r="L42" s="108">
        <v>0.54169222574024944</v>
      </c>
      <c r="M42" s="108">
        <v>0.53072109643752929</v>
      </c>
      <c r="N42" s="108">
        <v>0.49863438545678646</v>
      </c>
      <c r="O42" s="108">
        <v>0.41003981823355107</v>
      </c>
      <c r="P42" s="108">
        <v>0.27302341160738419</v>
      </c>
      <c r="Q42" s="108">
        <v>0.26647405847534972</v>
      </c>
    </row>
    <row r="43" spans="1:57">
      <c r="F43" s="390">
        <v>0.24741358985254425</v>
      </c>
      <c r="G43" s="108">
        <v>0.31043390400043391</v>
      </c>
      <c r="H43" s="108">
        <v>0.3885557242014579</v>
      </c>
      <c r="I43" s="108">
        <v>0.54360147731601693</v>
      </c>
      <c r="J43" s="108">
        <v>0.59539905567683948</v>
      </c>
      <c r="K43" s="108">
        <v>0.59700737431348583</v>
      </c>
      <c r="L43" s="108">
        <v>0.55131789770383755</v>
      </c>
      <c r="M43" s="108">
        <v>0.54764101023905432</v>
      </c>
      <c r="N43" s="108">
        <v>0.51674248001757739</v>
      </c>
      <c r="O43" s="108">
        <v>0.41402106859323451</v>
      </c>
      <c r="P43" s="108">
        <v>0.34976865026204867</v>
      </c>
      <c r="Q43" s="108">
        <v>0.28830441491273756</v>
      </c>
    </row>
    <row r="44" spans="1:57">
      <c r="F44" s="390">
        <v>0.27305703261899744</v>
      </c>
      <c r="G44" s="108">
        <v>0.34214771675854172</v>
      </c>
      <c r="H44" s="108">
        <v>0.42978002501767093</v>
      </c>
      <c r="I44" s="108">
        <v>0.51821071955471287</v>
      </c>
      <c r="J44" s="108">
        <v>0.57338864539137002</v>
      </c>
      <c r="K44" s="108">
        <v>0.59132873410054809</v>
      </c>
      <c r="L44" s="108">
        <v>0.54612567325049999</v>
      </c>
      <c r="M44" s="108">
        <v>0.51172019838633698</v>
      </c>
      <c r="N44" s="108">
        <v>0.48292770455898232</v>
      </c>
      <c r="O44" s="108">
        <v>0.45655985540683669</v>
      </c>
      <c r="P44" s="108">
        <v>0.37644220701938036</v>
      </c>
      <c r="Q44" s="108">
        <v>0.30961308103916974</v>
      </c>
    </row>
    <row r="45" spans="1:57">
      <c r="F45" s="390">
        <v>0.3634711880980761</v>
      </c>
      <c r="G45" s="108">
        <v>0.35103489260309817</v>
      </c>
      <c r="H45" s="108">
        <v>0.36328894931087707</v>
      </c>
      <c r="I45" s="108">
        <v>0.48086170172406456</v>
      </c>
      <c r="J45" s="108">
        <v>0.57667849579703712</v>
      </c>
      <c r="K45" s="108">
        <v>0.60126833783883815</v>
      </c>
      <c r="L45" s="108">
        <v>0.55700581290077955</v>
      </c>
      <c r="M45" s="108">
        <v>0.51095874580920997</v>
      </c>
      <c r="N45" s="108">
        <v>0.44448693159948283</v>
      </c>
      <c r="O45" s="108">
        <v>0.41750423897732364</v>
      </c>
      <c r="P45" s="108">
        <v>0.41434273123888105</v>
      </c>
      <c r="Q45" s="108">
        <v>0.41433912199992234</v>
      </c>
    </row>
    <row r="46" spans="1:57">
      <c r="F46" s="390">
        <v>0.32573517273348479</v>
      </c>
      <c r="G46" s="108">
        <v>0.3281582088558832</v>
      </c>
      <c r="H46" s="108">
        <v>0.36418705826583303</v>
      </c>
      <c r="I46" s="108">
        <v>0.49789765244730755</v>
      </c>
      <c r="J46" s="108">
        <v>0.60295007913248644</v>
      </c>
      <c r="K46" s="108">
        <v>0.63843216390514423</v>
      </c>
      <c r="L46" s="108">
        <v>0.59869077711666918</v>
      </c>
      <c r="M46" s="108">
        <v>0.53486897221190133</v>
      </c>
      <c r="N46" s="108">
        <v>0.44219980098280898</v>
      </c>
      <c r="O46" s="108">
        <v>0.41089052299704082</v>
      </c>
      <c r="P46" s="108">
        <v>0.38006290607353932</v>
      </c>
      <c r="Q46" s="108">
        <v>0.35333585318284655</v>
      </c>
    </row>
    <row r="47" spans="1:57">
      <c r="F47" s="390">
        <v>0.28759267221821161</v>
      </c>
      <c r="G47" s="108">
        <v>0.31465123408000234</v>
      </c>
      <c r="H47" s="108">
        <v>0.38410642358822744</v>
      </c>
      <c r="I47" s="108">
        <v>0.53124071268546058</v>
      </c>
      <c r="J47" s="108">
        <v>0.63046960142403052</v>
      </c>
      <c r="K47" s="108">
        <v>0.66308798681159031</v>
      </c>
      <c r="L47" s="108">
        <v>0.62142392600584839</v>
      </c>
      <c r="M47" s="108">
        <v>0.55983909398165865</v>
      </c>
      <c r="N47" s="108">
        <v>0.46080027554822994</v>
      </c>
      <c r="O47" s="108">
        <v>0.42108102069794057</v>
      </c>
      <c r="P47" s="108">
        <v>0.36683510442071871</v>
      </c>
      <c r="Q47" s="108">
        <v>0.3152002793950256</v>
      </c>
    </row>
    <row r="48" spans="1:57">
      <c r="F48" s="390">
        <v>0.27123111039201492</v>
      </c>
      <c r="G48" s="108">
        <v>0.30945405910401463</v>
      </c>
      <c r="H48" s="108">
        <v>0.40425637249476698</v>
      </c>
      <c r="I48" s="108">
        <v>0.54510011800476588</v>
      </c>
      <c r="J48" s="108">
        <v>0.63611724721706797</v>
      </c>
      <c r="K48" s="108">
        <v>0.65604602778587595</v>
      </c>
      <c r="L48" s="108">
        <v>0.61482542352920067</v>
      </c>
      <c r="M48" s="108">
        <v>0.55439798517307204</v>
      </c>
      <c r="N48" s="108">
        <v>0.46661876945797792</v>
      </c>
      <c r="O48" s="108">
        <v>0.42903489764477287</v>
      </c>
      <c r="P48" s="108">
        <v>0.36302651341811559</v>
      </c>
      <c r="Q48" s="108">
        <v>0.30547005094406932</v>
      </c>
    </row>
    <row r="49" spans="1:57">
      <c r="A49" s="108">
        <v>0.44681078035770772</v>
      </c>
      <c r="B49" s="108">
        <v>0.19938154825263635</v>
      </c>
      <c r="C49" s="108">
        <v>0.73411368668385757</v>
      </c>
      <c r="D49" s="108">
        <v>0.4462326269142734</v>
      </c>
      <c r="E49" s="108">
        <v>0.81836447421022107</v>
      </c>
      <c r="F49" s="390">
        <v>0.26521071171499011</v>
      </c>
      <c r="G49" s="108">
        <v>0.28670219083057796</v>
      </c>
      <c r="H49" s="108">
        <v>0.34563673423229041</v>
      </c>
      <c r="I49" s="108">
        <v>0.54823998641147564</v>
      </c>
      <c r="J49" s="108">
        <v>0.70014131604613938</v>
      </c>
      <c r="K49" s="108">
        <v>0.71522638035891262</v>
      </c>
      <c r="L49" s="108">
        <v>0.62762109829717183</v>
      </c>
      <c r="M49" s="108">
        <v>0.52556066249469324</v>
      </c>
      <c r="N49" s="108">
        <v>0.41102729294514884</v>
      </c>
      <c r="O49" s="108">
        <v>0.36891074463786583</v>
      </c>
      <c r="P49" s="108">
        <v>0.37244317340455396</v>
      </c>
      <c r="Q49" s="108">
        <v>0.34816026145934492</v>
      </c>
    </row>
    <row r="50" spans="1:57">
      <c r="F50" s="390">
        <v>0.26088992333726341</v>
      </c>
      <c r="G50" s="108">
        <v>0.28075374120521496</v>
      </c>
      <c r="H50" s="108">
        <v>0.35725862263353109</v>
      </c>
      <c r="I50" s="108">
        <v>0.56363345032214374</v>
      </c>
      <c r="J50" s="108">
        <v>0.65008522817094216</v>
      </c>
      <c r="K50" s="108">
        <v>0.66712864296424434</v>
      </c>
      <c r="L50" s="108">
        <v>0.58328402194517104</v>
      </c>
      <c r="M50" s="108">
        <v>0.4958237348884737</v>
      </c>
      <c r="N50" s="108">
        <v>0.41223082569914615</v>
      </c>
      <c r="O50" s="108">
        <v>0.36843778107275571</v>
      </c>
      <c r="P50" s="108">
        <v>0.37224511587329001</v>
      </c>
      <c r="Q50" s="108">
        <v>0.35121241497243905</v>
      </c>
    </row>
    <row r="51" spans="1:57">
      <c r="F51" s="390">
        <v>0.216903484538821</v>
      </c>
      <c r="G51" s="108">
        <v>0.27017398746379345</v>
      </c>
      <c r="H51" s="108">
        <v>0.39716095589431394</v>
      </c>
      <c r="I51" s="108">
        <v>0.57218007346955035</v>
      </c>
      <c r="J51" s="108">
        <v>0.63277401014106627</v>
      </c>
      <c r="K51" s="108">
        <v>0.64977146178501566</v>
      </c>
      <c r="L51" s="108">
        <v>0.57464928531074999</v>
      </c>
      <c r="M51" s="108">
        <v>0.50336576745217942</v>
      </c>
      <c r="N51" s="108">
        <v>0.43340581773090464</v>
      </c>
      <c r="O51" s="108">
        <v>0.38798809014934355</v>
      </c>
      <c r="P51" s="108">
        <v>0.35793362380272015</v>
      </c>
      <c r="Q51" s="108">
        <v>0.30522690589497958</v>
      </c>
      <c r="BE51" s="705"/>
    </row>
    <row r="52" spans="1:57">
      <c r="F52" s="390">
        <v>0.2061014959363664</v>
      </c>
      <c r="G52" s="108">
        <v>0.25355023814598787</v>
      </c>
      <c r="H52" s="108">
        <v>0.41123691981385696</v>
      </c>
      <c r="I52" s="108">
        <v>0.57418721232144032</v>
      </c>
      <c r="J52" s="108">
        <v>0.62217176585008138</v>
      </c>
      <c r="K52" s="108">
        <v>0.65539988736371935</v>
      </c>
      <c r="L52" s="108">
        <v>0.58450765387124781</v>
      </c>
      <c r="M52" s="108">
        <v>0.52508860180408412</v>
      </c>
      <c r="N52" s="108">
        <v>0.45523051486909449</v>
      </c>
      <c r="O52" s="108">
        <v>0.39276818639896233</v>
      </c>
      <c r="P52" s="108">
        <v>0.34028897089642746</v>
      </c>
      <c r="Q52" s="108">
        <v>0.30505019926092858</v>
      </c>
    </row>
    <row r="53" spans="1:57">
      <c r="F53" s="390">
        <v>0.19938154825263635</v>
      </c>
      <c r="G53" s="108">
        <v>0.25766026557952026</v>
      </c>
      <c r="H53" s="108">
        <v>0.35428223449968349</v>
      </c>
      <c r="I53" s="108">
        <v>0.53252283929789346</v>
      </c>
      <c r="J53" s="108">
        <v>0.60438264552863485</v>
      </c>
      <c r="K53" s="108">
        <v>0.64691583814698728</v>
      </c>
      <c r="L53" s="108">
        <v>0.57679902396818783</v>
      </c>
      <c r="M53" s="108">
        <v>0.5149837191907396</v>
      </c>
      <c r="N53" s="108">
        <v>0.44222523143837383</v>
      </c>
      <c r="O53" s="108">
        <v>0.36726882808962819</v>
      </c>
      <c r="P53" s="108">
        <v>0.34631542852176511</v>
      </c>
      <c r="Q53" s="108">
        <v>0.29907318047582071</v>
      </c>
    </row>
    <row r="54" spans="1:57">
      <c r="F54" s="390">
        <v>0.20980370953690428</v>
      </c>
      <c r="G54" s="108">
        <v>0.26827421074645075</v>
      </c>
      <c r="H54" s="108">
        <v>0.30065662714719354</v>
      </c>
      <c r="I54" s="108">
        <v>0.49918804548948875</v>
      </c>
      <c r="J54" s="108">
        <v>0.60039841355735468</v>
      </c>
      <c r="K54" s="108">
        <v>0.64166820834867488</v>
      </c>
      <c r="L54" s="108">
        <v>0.57659710010741783</v>
      </c>
      <c r="M54" s="108">
        <v>0.50883848275728039</v>
      </c>
      <c r="N54" s="108">
        <v>0.44100112682006065</v>
      </c>
      <c r="O54" s="108">
        <v>0.37085589509683226</v>
      </c>
      <c r="P54" s="108">
        <v>0.34194596648348785</v>
      </c>
      <c r="Q54" s="108">
        <v>0.26344918397746736</v>
      </c>
    </row>
    <row r="55" spans="1:57">
      <c r="F55" s="390">
        <v>0.22830802768172481</v>
      </c>
      <c r="G55" s="108">
        <v>0.28590907662808934</v>
      </c>
      <c r="H55" s="108">
        <v>0.39003022618379657</v>
      </c>
      <c r="I55" s="108">
        <v>0.52827001980441946</v>
      </c>
      <c r="J55" s="108">
        <v>0.61723595966764289</v>
      </c>
      <c r="K55" s="108">
        <v>0.66407659394402985</v>
      </c>
      <c r="L55" s="108">
        <v>0.58259306641814279</v>
      </c>
      <c r="M55" s="108">
        <v>0.52018456023441839</v>
      </c>
      <c r="N55" s="108">
        <v>0.47031331998478032</v>
      </c>
      <c r="O55" s="108">
        <v>0.37490215580694547</v>
      </c>
      <c r="P55" s="108">
        <v>0.34205862503969725</v>
      </c>
      <c r="Q55" s="108">
        <v>0.31855787617727865</v>
      </c>
    </row>
    <row r="56" spans="1:57">
      <c r="F56" s="390">
        <v>0.25119682986178615</v>
      </c>
      <c r="G56" s="108">
        <v>0.32195910599761657</v>
      </c>
      <c r="H56" s="108">
        <v>0.41191586707484357</v>
      </c>
      <c r="I56" s="108">
        <v>0.47330470052738272</v>
      </c>
      <c r="J56" s="108">
        <v>0.60022113728134752</v>
      </c>
      <c r="K56" s="108">
        <v>0.67270522154168255</v>
      </c>
      <c r="L56" s="108">
        <v>0.57633059765871797</v>
      </c>
      <c r="M56" s="108">
        <v>0.49284892989351076</v>
      </c>
      <c r="N56" s="108">
        <v>0.44490789575806061</v>
      </c>
      <c r="O56" s="108">
        <v>0.41322045736923901</v>
      </c>
      <c r="P56" s="108">
        <v>0.38231435477843873</v>
      </c>
      <c r="Q56" s="108">
        <v>0.3356704053407088</v>
      </c>
    </row>
    <row r="57" spans="1:57">
      <c r="F57" s="390">
        <v>0.34373997369956888</v>
      </c>
      <c r="G57" s="108">
        <v>0.33296310724811962</v>
      </c>
      <c r="H57" s="108">
        <v>0.32615362325187169</v>
      </c>
      <c r="I57" s="108">
        <v>0.4213937468558101</v>
      </c>
      <c r="J57" s="108">
        <v>0.62930027262350741</v>
      </c>
      <c r="K57" s="108">
        <v>0.68259765345797108</v>
      </c>
      <c r="L57" s="108">
        <v>0.58511720203197271</v>
      </c>
      <c r="M57" s="108">
        <v>0.48986476839036991</v>
      </c>
      <c r="N57" s="108">
        <v>0.40667564394104622</v>
      </c>
      <c r="O57" s="108">
        <v>0.3736495242721467</v>
      </c>
      <c r="P57" s="108">
        <v>0.41581591286062375</v>
      </c>
      <c r="Q57" s="108">
        <v>0.43859062710596519</v>
      </c>
    </row>
    <row r="58" spans="1:57">
      <c r="F58" s="390">
        <v>0.31134283931996309</v>
      </c>
      <c r="G58" s="108">
        <v>0.31333738116750504</v>
      </c>
      <c r="H58" s="108">
        <v>0.3177650475383173</v>
      </c>
      <c r="I58" s="108">
        <v>0.44297890021377911</v>
      </c>
      <c r="J58" s="108">
        <v>0.67769454279496444</v>
      </c>
      <c r="K58" s="108">
        <v>0.71237239870409941</v>
      </c>
      <c r="L58" s="108">
        <v>0.62436430502654472</v>
      </c>
      <c r="M58" s="108">
        <v>0.52286889214893051</v>
      </c>
      <c r="N58" s="108">
        <v>0.40244739776255956</v>
      </c>
      <c r="O58" s="108">
        <v>0.36056456330878922</v>
      </c>
      <c r="P58" s="108">
        <v>0.38487042613963363</v>
      </c>
      <c r="Q58" s="108">
        <v>0.38206562422127416</v>
      </c>
    </row>
    <row r="59" spans="1:57">
      <c r="F59" s="390">
        <v>0.27004659529494746</v>
      </c>
      <c r="G59" s="108">
        <v>0.29254793739031248</v>
      </c>
      <c r="H59" s="108">
        <v>0.32595283456866825</v>
      </c>
      <c r="I59" s="108">
        <v>0.49724041671468044</v>
      </c>
      <c r="J59" s="108">
        <v>0.71751176639780179</v>
      </c>
      <c r="K59" s="108">
        <v>0.73239809563688163</v>
      </c>
      <c r="L59" s="108">
        <v>0.65000948165109662</v>
      </c>
      <c r="M59" s="108">
        <v>0.54702262621764652</v>
      </c>
      <c r="N59" s="108">
        <v>0.4180965750381207</v>
      </c>
      <c r="O59" s="108">
        <v>0.36454663691580164</v>
      </c>
      <c r="P59" s="108">
        <v>0.37214378614632726</v>
      </c>
      <c r="Q59" s="108">
        <v>0.34454838956519773</v>
      </c>
    </row>
    <row r="60" spans="1:57">
      <c r="F60" s="390">
        <v>0.25902320499181714</v>
      </c>
      <c r="G60" s="108">
        <v>0.2850924453193453</v>
      </c>
      <c r="H60" s="108">
        <v>0.33891738526205284</v>
      </c>
      <c r="I60" s="108">
        <v>0.53301318642744355</v>
      </c>
      <c r="J60" s="108">
        <v>0.72490405704396566</v>
      </c>
      <c r="K60" s="108">
        <v>0.73411368668385757</v>
      </c>
      <c r="L60" s="108">
        <v>0.64421008551674719</v>
      </c>
      <c r="M60" s="108">
        <v>0.53811708676541026</v>
      </c>
      <c r="N60" s="108">
        <v>0.41449633383996037</v>
      </c>
      <c r="O60" s="108">
        <v>0.36612594393452447</v>
      </c>
      <c r="P60" s="108">
        <v>0.36575558552721371</v>
      </c>
      <c r="Q60" s="108">
        <v>0.33788192477854107</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412" zoomScaleNormal="100" workbookViewId="0">
      <selection activeCell="B428" sqref="B428"/>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3330</v>
      </c>
      <c r="D126" s="686" t="s">
        <v>3327</v>
      </c>
      <c r="E126" s="686" t="s">
        <v>3328</v>
      </c>
      <c r="F126" s="661" t="s">
        <v>3329</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3331</v>
      </c>
      <c r="D577" s="687" t="s">
        <v>3333</v>
      </c>
      <c r="E577" s="687" t="s">
        <v>3334</v>
      </c>
      <c r="F577" s="687" t="s">
        <v>3332</v>
      </c>
    </row>
    <row r="578" spans="2:6" ht="15.75" customHeight="1">
      <c r="B578" s="617" t="str">
        <f t="shared" si="9"/>
        <v>Tilt (degrees)</v>
      </c>
      <c r="C578" s="615" t="s">
        <v>3343</v>
      </c>
      <c r="D578" s="615" t="s">
        <v>3371</v>
      </c>
      <c r="E578" s="615" t="s">
        <v>3370</v>
      </c>
      <c r="F578" s="615" t="s">
        <v>3369</v>
      </c>
    </row>
    <row r="579" spans="2:6" ht="15.75" customHeight="1">
      <c r="B579" s="617" t="str">
        <f t="shared" si="9"/>
        <v>Set installation cost to zero?</v>
      </c>
      <c r="C579" s="615" t="s">
        <v>1745</v>
      </c>
      <c r="D579" s="615" t="s">
        <v>3375</v>
      </c>
      <c r="E579" s="615" t="s">
        <v>3376</v>
      </c>
      <c r="F579" s="615" t="s">
        <v>3377</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3379</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3335</v>
      </c>
      <c r="B143" s="481" t="s">
        <v>3336</v>
      </c>
    </row>
    <row r="144" spans="1:2">
      <c r="B144" s="481" t="s">
        <v>3337</v>
      </c>
    </row>
    <row r="145" spans="1:2">
      <c r="B145" s="481" t="s">
        <v>3338</v>
      </c>
    </row>
    <row r="146" spans="1:2">
      <c r="B146" t="s">
        <v>3339</v>
      </c>
    </row>
    <row r="147" spans="1:2">
      <c r="A147" t="s">
        <v>3372</v>
      </c>
      <c r="B147" t="s">
        <v>3373</v>
      </c>
    </row>
    <row r="148" spans="1:2">
      <c r="B148" t="s">
        <v>3374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9"/>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2777</v>
      </c>
      <c r="D4" s="404" t="s">
        <v>65</v>
      </c>
      <c r="E4" s="414">
        <v>34</v>
      </c>
      <c r="F4" s="405">
        <v>28.571428571428573</v>
      </c>
      <c r="G4" s="414">
        <v>4</v>
      </c>
      <c r="H4" s="405">
        <v>4</v>
      </c>
      <c r="I4" s="405"/>
      <c r="J4" s="405">
        <v>1</v>
      </c>
      <c r="K4" s="422" t="s">
        <v>1245</v>
      </c>
      <c r="L4" s="405">
        <v>10</v>
      </c>
      <c r="M4" s="405">
        <v>35</v>
      </c>
      <c r="N4" s="405">
        <v>2.5</v>
      </c>
      <c r="O4" s="405">
        <v>3</v>
      </c>
      <c r="P4" s="405">
        <v>0.61599999999999999</v>
      </c>
    </row>
    <row r="5" spans="2:16">
      <c r="B5" s="412" t="s">
        <v>1994</v>
      </c>
      <c r="C5" s="412" t="s">
        <v>3340</v>
      </c>
      <c r="D5" s="412" t="s">
        <v>65</v>
      </c>
      <c r="E5" s="415">
        <v>91</v>
      </c>
      <c r="F5" s="418">
        <v>28.571428571428573</v>
      </c>
      <c r="G5" s="415">
        <v>4</v>
      </c>
      <c r="H5" s="418">
        <v>4</v>
      </c>
      <c r="I5" s="418"/>
      <c r="J5" s="418">
        <v>1</v>
      </c>
      <c r="K5" s="423" t="s">
        <v>1245</v>
      </c>
      <c r="L5" s="418">
        <v>10</v>
      </c>
      <c r="M5" s="418">
        <v>35</v>
      </c>
      <c r="N5" s="418">
        <v>2.5</v>
      </c>
      <c r="O5" s="418">
        <v>3</v>
      </c>
      <c r="P5" s="418">
        <v>0.69000000000000006</v>
      </c>
    </row>
    <row r="6" spans="2:16">
      <c r="B6" s="412" t="s">
        <v>3348</v>
      </c>
      <c r="C6" s="412" t="s">
        <v>3344</v>
      </c>
      <c r="D6" s="412" t="s">
        <v>65</v>
      </c>
      <c r="E6" s="415">
        <v>91</v>
      </c>
      <c r="F6" s="418">
        <v>28.571428571428573</v>
      </c>
      <c r="G6" s="415">
        <v>4</v>
      </c>
      <c r="H6" s="418">
        <v>4</v>
      </c>
      <c r="I6" s="418"/>
      <c r="J6" s="418">
        <v>1</v>
      </c>
      <c r="K6" s="423" t="s">
        <v>1245</v>
      </c>
      <c r="L6" s="418">
        <v>10</v>
      </c>
      <c r="M6" s="418">
        <v>35</v>
      </c>
      <c r="N6" s="418">
        <v>2.5</v>
      </c>
      <c r="O6" s="418">
        <v>3</v>
      </c>
      <c r="P6" s="418">
        <v>0.69000000000000006</v>
      </c>
    </row>
    <row r="7" spans="2:16">
      <c r="B7" s="699" t="s">
        <v>3349</v>
      </c>
      <c r="C7" s="699" t="s">
        <v>3345</v>
      </c>
      <c r="D7" s="699" t="s">
        <v>65</v>
      </c>
      <c r="E7" s="700">
        <v>91</v>
      </c>
      <c r="F7" s="701">
        <v>28.571428571428573</v>
      </c>
      <c r="G7" s="700">
        <v>4</v>
      </c>
      <c r="H7" s="701">
        <v>4</v>
      </c>
      <c r="I7" s="701"/>
      <c r="J7" s="701">
        <v>1</v>
      </c>
      <c r="K7" s="702" t="s">
        <v>1245</v>
      </c>
      <c r="L7" s="701">
        <v>10</v>
      </c>
      <c r="M7" s="701">
        <v>35</v>
      </c>
      <c r="N7" s="701">
        <v>2.5</v>
      </c>
      <c r="O7" s="701">
        <v>3</v>
      </c>
      <c r="P7" s="701">
        <v>0.69000000000000006</v>
      </c>
    </row>
    <row r="8" spans="2:16">
      <c r="B8" s="699" t="s">
        <v>3350</v>
      </c>
      <c r="C8" s="699" t="s">
        <v>3346</v>
      </c>
      <c r="D8" s="699" t="s">
        <v>65</v>
      </c>
      <c r="E8" s="700">
        <v>91</v>
      </c>
      <c r="F8" s="701">
        <v>28.571428571428573</v>
      </c>
      <c r="G8" s="700">
        <v>4</v>
      </c>
      <c r="H8" s="701">
        <v>4</v>
      </c>
      <c r="I8" s="701"/>
      <c r="J8" s="701">
        <v>1</v>
      </c>
      <c r="K8" s="702" t="s">
        <v>1245</v>
      </c>
      <c r="L8" s="701">
        <v>10</v>
      </c>
      <c r="M8" s="701">
        <v>35</v>
      </c>
      <c r="N8" s="701">
        <v>2.5</v>
      </c>
      <c r="O8" s="701">
        <v>3</v>
      </c>
      <c r="P8" s="701">
        <v>0.69000000000000006</v>
      </c>
    </row>
    <row r="9" spans="2:16">
      <c r="B9" s="699" t="s">
        <v>3351</v>
      </c>
      <c r="C9" s="699" t="s">
        <v>3347</v>
      </c>
      <c r="D9" s="699" t="s">
        <v>65</v>
      </c>
      <c r="E9" s="700">
        <v>91</v>
      </c>
      <c r="F9" s="701">
        <v>28.571428571428573</v>
      </c>
      <c r="G9" s="700">
        <v>4</v>
      </c>
      <c r="H9" s="701">
        <v>4</v>
      </c>
      <c r="I9" s="701"/>
      <c r="J9" s="701">
        <v>1</v>
      </c>
      <c r="K9" s="702" t="s">
        <v>1245</v>
      </c>
      <c r="L9" s="701">
        <v>10</v>
      </c>
      <c r="M9" s="701">
        <v>35</v>
      </c>
      <c r="N9" s="701">
        <v>2.5</v>
      </c>
      <c r="O9" s="701">
        <v>3</v>
      </c>
      <c r="P9" s="701">
        <v>0.69000000000000006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2777</v>
      </c>
      <c r="D4" s="625" t="s">
        <v>65</v>
      </c>
      <c r="E4" s="626">
        <v>34</v>
      </c>
      <c r="F4" s="627">
        <v>148.92000000000002</v>
      </c>
      <c r="G4" s="627">
        <v>4254.8571428571431</v>
      </c>
    </row>
    <row r="5" spans="2:7">
      <c r="B5" s="412" t="s">
        <v>1994</v>
      </c>
      <c r="C5" s="412" t="s">
        <v>3340</v>
      </c>
      <c r="D5" s="412" t="s">
        <v>65</v>
      </c>
      <c r="E5" s="415">
        <v>91</v>
      </c>
      <c r="F5" s="418">
        <v>398.58</v>
      </c>
      <c r="G5" s="418">
        <v>11388</v>
      </c>
    </row>
    <row r="6" spans="2:7">
      <c r="B6" s="699" t="s">
        <v>3348</v>
      </c>
      <c r="C6" s="699" t="s">
        <v>3344</v>
      </c>
      <c r="D6" s="699" t="s">
        <v>65</v>
      </c>
      <c r="E6" s="700">
        <v>91</v>
      </c>
      <c r="F6" s="701">
        <v>398.58</v>
      </c>
      <c r="G6" s="701">
        <v>11388</v>
      </c>
    </row>
    <row r="7" spans="2:7">
      <c r="B7" s="699" t="s">
        <v>3349</v>
      </c>
      <c r="C7" s="699" t="s">
        <v>3345</v>
      </c>
      <c r="D7" s="699" t="s">
        <v>65</v>
      </c>
      <c r="E7" s="700">
        <v>91</v>
      </c>
      <c r="F7" s="701">
        <v>398.58</v>
      </c>
      <c r="G7" s="701">
        <v>11388</v>
      </c>
    </row>
    <row r="8" spans="2:7">
      <c r="B8" s="699" t="s">
        <v>3350</v>
      </c>
      <c r="C8" s="699" t="s">
        <v>3346</v>
      </c>
      <c r="D8" s="699" t="s">
        <v>65</v>
      </c>
      <c r="E8" s="700">
        <v>91</v>
      </c>
      <c r="F8" s="701">
        <v>398.58</v>
      </c>
      <c r="G8" s="701">
        <v>11388</v>
      </c>
    </row>
    <row r="9" spans="2:7">
      <c r="B9" s="699" t="s">
        <v>3351</v>
      </c>
      <c r="C9" s="699" t="s">
        <v>3347</v>
      </c>
      <c r="D9" s="699" t="s">
        <v>65</v>
      </c>
      <c r="E9" s="700">
        <v>91</v>
      </c>
      <c r="F9" s="701">
        <v>398.58</v>
      </c>
      <c r="G9" s="701">
        <v>11388</v>
      </c>
    </row>
    <row r="12" spans="2:7">
      <c r="B12" s="294"/>
      <c r="C12" s="294"/>
      <c r="D12" s="294"/>
      <c r="E12" s="416"/>
      <c r="F12" s="406"/>
      <c r="G12" s="406"/>
    </row>
  </sheetData>
  <sortState ref="B6:G9">
    <sortCondition ref="F5:F9"/>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2777</v>
      </c>
      <c r="D4" s="625" t="s">
        <v>65</v>
      </c>
      <c r="E4" s="626">
        <v>34</v>
      </c>
      <c r="F4" s="627">
        <v>4.3250632009644985</v>
      </c>
      <c r="G4" s="627">
        <v>2.8334624336022238</v>
      </c>
      <c r="H4" s="627">
        <v>5.8538670106767681</v>
      </c>
      <c r="I4" s="627">
        <v>0.65512624947777776</v>
      </c>
      <c r="J4" s="627">
        <v>6</v>
      </c>
      <c r="K4" s="627">
        <v>0.16666666666666666</v>
      </c>
      <c r="L4" s="628">
        <v>0</v>
      </c>
      <c r="M4" s="450"/>
      <c r="N4" s="450"/>
      <c r="O4" s="450" t="s">
        <v>1315</v>
      </c>
      <c r="P4" s="450" t="s">
        <v>1316</v>
      </c>
      <c r="Q4" s="450" t="s">
        <v>1315</v>
      </c>
      <c r="R4" s="450" t="s">
        <v>1316</v>
      </c>
      <c r="S4" s="450">
        <v>148.92000000000002</v>
      </c>
      <c r="T4" s="425">
        <v>398.58</v>
      </c>
    </row>
    <row r="5" spans="2:30">
      <c r="B5" s="412" t="s">
        <v>1994</v>
      </c>
      <c r="C5" s="412" t="s">
        <v>3340</v>
      </c>
      <c r="D5" s="412" t="s">
        <v>65</v>
      </c>
      <c r="E5" s="415">
        <v>91</v>
      </c>
      <c r="F5" s="418">
        <v>13.341418830469525</v>
      </c>
      <c r="G5" s="418">
        <v>8.153314451806823</v>
      </c>
      <c r="H5" s="418">
        <v>18.236146424906536</v>
      </c>
      <c r="I5" s="418">
        <v>0.61112798836552851</v>
      </c>
      <c r="J5" s="418">
        <v>6</v>
      </c>
      <c r="K5" s="418">
        <v>0.16666666666666666</v>
      </c>
      <c r="L5" s="412">
        <v>1</v>
      </c>
      <c r="M5" s="450"/>
      <c r="N5" s="450"/>
      <c r="O5" s="450">
        <f t="shared" ref="O5:O14" si="0">IF($L5=1,$E5,NA())</f>
        <v>91</v>
      </c>
      <c r="P5" s="450" t="e">
        <f t="shared" ref="P5:P14" si="1">IF(AND($L5=0,$L5&lt;&gt;""),$E5,NA())</f>
        <v>#N/A</v>
      </c>
      <c r="Q5" s="450">
        <f t="shared" ref="Q5:Q40" si="2">IF(L5=1,F5,NA())</f>
        <v>13.341418830469525</v>
      </c>
      <c r="R5" s="450" t="e">
        <f t="shared" ref="R5:R14" si="3">IF(P5&lt;&gt;"",F5,NA())</f>
        <v>#N/A</v>
      </c>
      <c r="S5" s="450">
        <v>398.58</v>
      </c>
      <c r="T5" s="425">
        <v>148.92000000000002</v>
      </c>
    </row>
    <row r="6" spans="2:30">
      <c r="B6" s="699" t="s">
        <v>3348</v>
      </c>
      <c r="C6" s="699" t="s">
        <v>3344</v>
      </c>
      <c r="D6" s="699" t="s">
        <v>65</v>
      </c>
      <c r="E6" s="700">
        <v>91</v>
      </c>
      <c r="F6" s="701">
        <v>12.987963135087163</v>
      </c>
      <c r="G6" s="701">
        <v>7.8493488281255841</v>
      </c>
      <c r="H6" s="701">
        <v>17.645694789138208</v>
      </c>
      <c r="I6" s="701">
        <v>0.60435564425960364</v>
      </c>
      <c r="J6" s="701">
        <v>6</v>
      </c>
      <c r="K6" s="701">
        <v>0.16666666666666666</v>
      </c>
      <c r="L6" s="699">
        <v>1</v>
      </c>
      <c r="M6" s="450"/>
      <c r="N6" s="450"/>
      <c r="O6" s="450">
        <f>IF($L6=1,$E6,NA())</f>
        <v>91</v>
      </c>
      <c r="P6" s="450" t="e">
        <f>IF(AND($L6=0,$L6&lt;&gt;""),$E6,NA())</f>
        <v>#N/A</v>
      </c>
      <c r="Q6" s="450">
        <f>IF(L6=1,F6,NA())</f>
        <v>12.987963135087163</v>
      </c>
      <c r="R6" s="450" t="e">
        <f>IF(P6&lt;&gt;"",F6,NA())</f>
        <v>#N/A</v>
      </c>
      <c r="S6" s="450">
        <v>398.58</v>
      </c>
      <c r="T6" s="425">
        <v>586.92000000000007</v>
      </c>
    </row>
    <row r="7" spans="2:30">
      <c r="B7" s="699" t="s">
        <v>3349</v>
      </c>
      <c r="C7" s="699" t="s">
        <v>3345</v>
      </c>
      <c r="D7" s="699" t="s">
        <v>65</v>
      </c>
      <c r="E7" s="700">
        <v>91</v>
      </c>
      <c r="F7" s="701">
        <v>11.602414100488641</v>
      </c>
      <c r="G7" s="701">
        <v>6.6933405717067913</v>
      </c>
      <c r="H7" s="701">
        <v>16.83804353754439</v>
      </c>
      <c r="I7" s="701">
        <v>0.57689206002610249</v>
      </c>
      <c r="J7" s="701">
        <v>6</v>
      </c>
      <c r="K7" s="701">
        <v>0.16666666666666666</v>
      </c>
      <c r="L7" s="699">
        <v>1</v>
      </c>
      <c r="M7" s="450"/>
      <c r="N7" s="450"/>
      <c r="O7" s="450">
        <f>IF($L7=1,$E7,NA())</f>
        <v>91</v>
      </c>
      <c r="P7" s="450" t="e">
        <f>IF(AND($L7=0,$L7&lt;&gt;""),$E7,NA())</f>
        <v>#N/A</v>
      </c>
      <c r="Q7" s="450">
        <f>IF(L7=1,F7,NA())</f>
        <v>11.602414100488641</v>
      </c>
      <c r="R7" s="450" t="e">
        <f>IF(P7&lt;&gt;"",F7,NA())</f>
        <v>#N/A</v>
      </c>
      <c r="S7" s="450">
        <v>398.58</v>
      </c>
    </row>
    <row r="8" spans="2:30">
      <c r="B8" s="699" t="s">
        <v>3350</v>
      </c>
      <c r="C8" s="699" t="s">
        <v>3346</v>
      </c>
      <c r="D8" s="699" t="s">
        <v>65</v>
      </c>
      <c r="E8" s="700">
        <v>91</v>
      </c>
      <c r="F8" s="701">
        <v>9.5155561831243993</v>
      </c>
      <c r="G8" s="701">
        <v>4.8027411393091652</v>
      </c>
      <c r="H8" s="701">
        <v>15.471580001952908</v>
      </c>
      <c r="I8" s="701">
        <v>0.50472521488830113</v>
      </c>
      <c r="J8" s="701">
        <v>6</v>
      </c>
      <c r="K8" s="701">
        <v>0.16666666666666666</v>
      </c>
      <c r="L8" s="699">
        <v>1</v>
      </c>
      <c r="M8" s="450"/>
      <c r="N8" s="450"/>
      <c r="O8" s="450">
        <f>IF($L8=1,$E8,NA())</f>
        <v>91</v>
      </c>
      <c r="P8" s="450" t="e">
        <f>IF(AND($L8=0,$L8&lt;&gt;""),$E8,NA())</f>
        <v>#N/A</v>
      </c>
      <c r="Q8" s="450">
        <f>IF(L8=1,F8,NA())</f>
        <v>9.5155561831243993</v>
      </c>
      <c r="R8" s="450" t="e">
        <f>IF(P8&lt;&gt;"",F8,NA())</f>
        <v>#N/A</v>
      </c>
      <c r="S8" s="450">
        <v>398.58</v>
      </c>
    </row>
    <row r="9" spans="2:30">
      <c r="B9" s="699" t="s">
        <v>3351</v>
      </c>
      <c r="C9" s="699" t="s">
        <v>3347</v>
      </c>
      <c r="D9" s="699" t="s">
        <v>65</v>
      </c>
      <c r="E9" s="700">
        <v>91</v>
      </c>
      <c r="F9" s="701">
        <v>6.9510983701499311</v>
      </c>
      <c r="G9" s="701">
        <v>3.5417686856080124</v>
      </c>
      <c r="H9" s="701">
        <v>13.214870570893206</v>
      </c>
      <c r="I9" s="701">
        <v>0.509526480134048</v>
      </c>
      <c r="J9" s="701">
        <v>6</v>
      </c>
      <c r="K9" s="701">
        <v>0.16666666666666666</v>
      </c>
      <c r="L9" s="699">
        <v>1</v>
      </c>
      <c r="M9" s="450"/>
      <c r="N9" s="450"/>
      <c r="O9" s="450">
        <f>IF($L9=1,$E9,NA())</f>
        <v>91</v>
      </c>
      <c r="P9" s="450" t="e">
        <f>IF(AND($L9=0,$L9&lt;&gt;""),$E9,NA())</f>
        <v>#N/A</v>
      </c>
      <c r="Q9" s="450">
        <f>IF(L9=1,F9,NA())</f>
        <v>6.9510983701499311</v>
      </c>
      <c r="R9" s="450" t="e">
        <f>IF(P9&lt;&gt;"",F9,NA())</f>
        <v>#N/A</v>
      </c>
      <c r="S9" s="450">
        <v>398.58</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9">
    <sortCondition descending="1" ref="N5:N9"/>
    <sortCondition ref="S5:S9"/>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2777</v>
      </c>
      <c r="D4" s="625" t="s">
        <v>65</v>
      </c>
      <c r="E4" s="626">
        <v>34</v>
      </c>
      <c r="F4" s="627">
        <v>0.32741096559842942</v>
      </c>
      <c r="G4" s="627">
        <v>0.18784055729349358</v>
      </c>
      <c r="H4" s="627">
        <v>0.53587780470652469</v>
      </c>
      <c r="I4" s="627">
        <v>0.54170697621989183</v>
      </c>
      <c r="J4" s="627">
        <v>0.70764352208218684</v>
      </c>
      <c r="K4" s="627">
        <v>0.6</v>
      </c>
      <c r="L4" s="627">
        <v>0.3</v>
      </c>
      <c r="M4" s="627">
        <v>0.15</v>
      </c>
      <c r="N4" s="628">
        <v>0</v>
      </c>
      <c r="R4" s="450">
        <v>148.92000000000002</v>
      </c>
    </row>
    <row r="5" spans="2:26">
      <c r="B5" s="412" t="s">
        <v>1994</v>
      </c>
      <c r="C5" s="412" t="s">
        <v>3340</v>
      </c>
      <c r="D5" s="412" t="s">
        <v>65</v>
      </c>
      <c r="E5" s="415">
        <v>91</v>
      </c>
      <c r="F5" s="418">
        <v>1.0243804180818261</v>
      </c>
      <c r="G5" s="418">
        <v>0.5887492614079517</v>
      </c>
      <c r="H5" s="418">
        <v>1.4508944259984293</v>
      </c>
      <c r="I5" s="418">
        <v>0.54794008459543142</v>
      </c>
      <c r="J5" s="418">
        <v>0.8484322542576278</v>
      </c>
      <c r="K5" s="418">
        <v>0.6</v>
      </c>
      <c r="L5" s="418">
        <v>0.3</v>
      </c>
      <c r="M5" s="418">
        <v>0.15</v>
      </c>
      <c r="N5" s="415">
        <v>1</v>
      </c>
      <c r="R5" s="450">
        <v>398.58</v>
      </c>
      <c r="S5" s="450">
        <f>IF($N5=1,$E5,NA())</f>
        <v>91</v>
      </c>
      <c r="T5" s="450" t="e">
        <f>IF(AND($N5=0,$N5&lt;&gt;""),$E5,NA())</f>
        <v>#N/A</v>
      </c>
      <c r="U5" s="450">
        <f>IF($N5=1,$F5,NA())</f>
        <v>1.0243804180818261</v>
      </c>
      <c r="V5" s="450" t="e">
        <f>IF(AND($N5=0,$N5&lt;&gt;""),$F5,NA())</f>
        <v>#N/A</v>
      </c>
    </row>
    <row r="6" spans="2:26">
      <c r="B6" s="699" t="s">
        <v>3348</v>
      </c>
      <c r="C6" s="699" t="s">
        <v>3344</v>
      </c>
      <c r="D6" s="699" t="s">
        <v>65</v>
      </c>
      <c r="E6" s="700">
        <v>91</v>
      </c>
      <c r="F6" s="701">
        <v>0.96318424721276996</v>
      </c>
      <c r="G6" s="701">
        <v>0.54588105929191799</v>
      </c>
      <c r="H6" s="701">
        <v>1.3519523963458977</v>
      </c>
      <c r="I6" s="701">
        <v>0.55699628420863168</v>
      </c>
      <c r="J6" s="701">
        <v>0.88657757557143346</v>
      </c>
      <c r="K6" s="701">
        <v>0.6</v>
      </c>
      <c r="L6" s="701">
        <v>0.3</v>
      </c>
      <c r="M6" s="701">
        <v>0.15</v>
      </c>
      <c r="N6" s="700">
        <v>1</v>
      </c>
      <c r="R6" s="450">
        <v>398.58</v>
      </c>
      <c r="S6" s="450">
        <f t="shared" ref="S6:S69" si="0">IF($N6=1,$E6,NA())</f>
        <v>91</v>
      </c>
      <c r="T6" s="450" t="e">
        <f t="shared" ref="T6:T69" si="1">IF(AND($N6=0,$N6&lt;&gt;""),$E6,NA())</f>
        <v>#N/A</v>
      </c>
      <c r="U6" s="450">
        <f t="shared" ref="U6:U69" si="2">IF($N6=1,$F6,NA())</f>
        <v>0.96318424721276996</v>
      </c>
      <c r="V6" s="450" t="e">
        <f t="shared" ref="V6:V69" si="3">IF(AND($N6=0,$N6&lt;&gt;""),$F6,NA())</f>
        <v>#N/A</v>
      </c>
    </row>
    <row r="7" spans="2:26">
      <c r="B7" s="699" t="s">
        <v>3349</v>
      </c>
      <c r="C7" s="699" t="s">
        <v>3345</v>
      </c>
      <c r="D7" s="699" t="s">
        <v>65</v>
      </c>
      <c r="E7" s="700">
        <v>91</v>
      </c>
      <c r="F7" s="701">
        <v>0.83923708087311732</v>
      </c>
      <c r="G7" s="701">
        <v>0.39502215218253039</v>
      </c>
      <c r="H7" s="701">
        <v>1.2119606768439832</v>
      </c>
      <c r="I7" s="701">
        <v>0.4670682432587086</v>
      </c>
      <c r="J7" s="701">
        <v>0.91408539817118784</v>
      </c>
      <c r="K7" s="701">
        <v>0.6</v>
      </c>
      <c r="L7" s="701">
        <v>0.3</v>
      </c>
      <c r="M7" s="701">
        <v>0.15</v>
      </c>
      <c r="N7" s="700">
        <v>1</v>
      </c>
      <c r="R7" s="450">
        <v>398.58</v>
      </c>
      <c r="S7" s="450">
        <f t="shared" si="0"/>
        <v>91</v>
      </c>
      <c r="T7" s="450" t="e">
        <f t="shared" si="1"/>
        <v>#N/A</v>
      </c>
      <c r="U7" s="450">
        <f t="shared" si="2"/>
        <v>0.83923708087311732</v>
      </c>
      <c r="V7" s="450" t="e">
        <f t="shared" si="3"/>
        <v>#N/A</v>
      </c>
    </row>
    <row r="8" spans="2:26">
      <c r="B8" s="699" t="s">
        <v>3350</v>
      </c>
      <c r="C8" s="699" t="s">
        <v>3346</v>
      </c>
      <c r="D8" s="699" t="s">
        <v>65</v>
      </c>
      <c r="E8" s="700">
        <v>91</v>
      </c>
      <c r="F8" s="701">
        <v>0.67300469032282573</v>
      </c>
      <c r="G8" s="701">
        <v>0.27257196783618093</v>
      </c>
      <c r="H8" s="701">
        <v>1.0189270851673826</v>
      </c>
      <c r="I8" s="701">
        <v>0.40500753078768897</v>
      </c>
      <c r="J8" s="701">
        <v>0.8256714424415581</v>
      </c>
      <c r="K8" s="701">
        <v>0.6</v>
      </c>
      <c r="L8" s="701">
        <v>0.3</v>
      </c>
      <c r="M8" s="701">
        <v>0.15</v>
      </c>
      <c r="N8" s="700">
        <v>1</v>
      </c>
      <c r="R8" s="450">
        <v>398.58</v>
      </c>
      <c r="S8" s="450">
        <f t="shared" si="0"/>
        <v>91</v>
      </c>
      <c r="T8" s="450" t="e">
        <f t="shared" si="1"/>
        <v>#N/A</v>
      </c>
      <c r="U8" s="450">
        <f t="shared" si="2"/>
        <v>0.67300469032282573</v>
      </c>
      <c r="V8" s="450" t="e">
        <f t="shared" si="3"/>
        <v>#N/A</v>
      </c>
    </row>
    <row r="9" spans="2:26">
      <c r="B9" s="699" t="s">
        <v>3351</v>
      </c>
      <c r="C9" s="699" t="s">
        <v>3347</v>
      </c>
      <c r="D9" s="699" t="s">
        <v>65</v>
      </c>
      <c r="E9" s="700">
        <v>91</v>
      </c>
      <c r="F9" s="701">
        <v>0.44681078035770772</v>
      </c>
      <c r="G9" s="701">
        <v>0.19938154825263635</v>
      </c>
      <c r="H9" s="701">
        <v>0.66308798681159031</v>
      </c>
      <c r="I9" s="701">
        <v>0.4462326269142734</v>
      </c>
      <c r="J9" s="701">
        <v>0.81836447421022107</v>
      </c>
      <c r="K9" s="701">
        <v>0.6</v>
      </c>
      <c r="L9" s="701">
        <v>0.3</v>
      </c>
      <c r="M9" s="701">
        <v>0.15</v>
      </c>
      <c r="N9" s="700">
        <v>0</v>
      </c>
      <c r="R9" s="450">
        <v>398.58</v>
      </c>
      <c r="S9" s="450" t="e">
        <f t="shared" si="0"/>
        <v>#N/A</v>
      </c>
      <c r="T9" s="450">
        <f t="shared" si="1"/>
        <v>91</v>
      </c>
      <c r="U9" s="450" t="e">
        <f t="shared" si="2"/>
        <v>#N/A</v>
      </c>
      <c r="V9" s="450">
        <f t="shared" si="3"/>
        <v>0.44681078035770772</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9">
    <sortCondition descending="1" ref="N5:N9"/>
    <sortCondition ref="R5:R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9"/>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2777</v>
      </c>
      <c r="D4" s="625" t="s">
        <v>65</v>
      </c>
      <c r="E4" s="626">
        <v>34</v>
      </c>
      <c r="F4" s="676">
        <v>0</v>
      </c>
      <c r="G4" s="676">
        <v>39.89</v>
      </c>
      <c r="H4" s="676"/>
      <c r="I4" s="676"/>
      <c r="J4" s="627"/>
    </row>
    <row r="5" spans="2:10">
      <c r="B5" s="412" t="s">
        <v>1994</v>
      </c>
      <c r="C5" s="412" t="s">
        <v>3340</v>
      </c>
      <c r="D5" s="412" t="s">
        <v>65</v>
      </c>
      <c r="E5" s="415">
        <v>91</v>
      </c>
      <c r="F5" s="677">
        <v>600</v>
      </c>
      <c r="G5" s="677">
        <v>64.86</v>
      </c>
      <c r="H5" s="677">
        <v>600</v>
      </c>
      <c r="I5" s="677">
        <v>-24.86</v>
      </c>
      <c r="J5" s="418">
        <v>-24.137098720733768</v>
      </c>
    </row>
    <row r="6" spans="2:10">
      <c r="B6" s="412" t="s">
        <v>3348</v>
      </c>
      <c r="C6" s="412" t="s">
        <v>3344</v>
      </c>
      <c r="D6" s="412" t="s">
        <v>65</v>
      </c>
      <c r="E6" s="415">
        <v>91</v>
      </c>
      <c r="F6" s="703">
        <v>600</v>
      </c>
      <c r="G6" s="703">
        <v>64.86</v>
      </c>
      <c r="H6" s="703">
        <v>600</v>
      </c>
      <c r="I6" s="703">
        <v>-24.86</v>
      </c>
      <c r="J6" s="418">
        <v>-24.137098720733768</v>
      </c>
    </row>
    <row r="7" spans="2:10">
      <c r="B7" s="699" t="s">
        <v>3349</v>
      </c>
      <c r="C7" s="699" t="s">
        <v>3345</v>
      </c>
      <c r="D7" s="699" t="s">
        <v>65</v>
      </c>
      <c r="E7" s="700">
        <v>91</v>
      </c>
      <c r="F7" s="704">
        <v>600</v>
      </c>
      <c r="G7" s="704">
        <v>64.86</v>
      </c>
      <c r="H7" s="704">
        <v>600</v>
      </c>
      <c r="I7" s="704">
        <v>-24.86</v>
      </c>
      <c r="J7" s="701">
        <v>-24.137098720733768</v>
      </c>
    </row>
    <row r="8" spans="2:10">
      <c r="B8" s="699" t="s">
        <v>3350</v>
      </c>
      <c r="C8" s="699" t="s">
        <v>3346</v>
      </c>
      <c r="D8" s="699" t="s">
        <v>65</v>
      </c>
      <c r="E8" s="700">
        <v>91</v>
      </c>
      <c r="F8" s="704">
        <v>600</v>
      </c>
      <c r="G8" s="704">
        <v>64.86</v>
      </c>
      <c r="H8" s="704">
        <v>600</v>
      </c>
      <c r="I8" s="704">
        <v>-24.86</v>
      </c>
      <c r="J8" s="701">
        <v>-24.137098720733768</v>
      </c>
    </row>
    <row r="9" spans="2:10">
      <c r="B9" s="699" t="s">
        <v>3351</v>
      </c>
      <c r="C9" s="699" t="s">
        <v>3347</v>
      </c>
      <c r="D9" s="699" t="s">
        <v>65</v>
      </c>
      <c r="E9" s="700">
        <v>91</v>
      </c>
      <c r="F9" s="704">
        <v>600</v>
      </c>
      <c r="G9" s="704">
        <v>64.86</v>
      </c>
      <c r="H9" s="704">
        <v>600</v>
      </c>
      <c r="I9" s="704">
        <v>-24.86</v>
      </c>
      <c r="J9" s="701">
        <v>-24.137098720733768</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2777</v>
      </c>
      <c r="D4" s="625" t="s">
        <v>65</v>
      </c>
      <c r="E4" s="626">
        <v>34</v>
      </c>
      <c r="F4" s="678">
        <v>0</v>
      </c>
      <c r="G4" s="678">
        <v>39.5</v>
      </c>
      <c r="H4" s="678">
        <v>78.63</v>
      </c>
      <c r="I4" s="678">
        <v>117.37</v>
      </c>
      <c r="J4" s="678">
        <v>155.72999999999999</v>
      </c>
      <c r="K4" s="678">
        <v>193.73</v>
      </c>
      <c r="L4" s="678">
        <v>231.35</v>
      </c>
      <c r="M4" s="678">
        <v>268.61</v>
      </c>
      <c r="N4" s="678">
        <v>305.5</v>
      </c>
      <c r="O4" s="678">
        <v>342.04</v>
      </c>
      <c r="P4" s="678">
        <v>378.23</v>
      </c>
      <c r="Q4" s="678">
        <v>414.06</v>
      </c>
      <c r="R4" s="678">
        <v>449.54</v>
      </c>
      <c r="S4" s="678">
        <v>484.68</v>
      </c>
      <c r="T4" s="678">
        <v>519.48</v>
      </c>
      <c r="U4" s="678">
        <v>553.94000000000005</v>
      </c>
      <c r="V4" s="678">
        <v>588.07000000000005</v>
      </c>
      <c r="W4" s="678">
        <v>621.87</v>
      </c>
      <c r="X4" s="678">
        <v>655.33000000000004</v>
      </c>
      <c r="Y4" s="678">
        <v>688.48</v>
      </c>
      <c r="Z4" s="678">
        <v>721.3</v>
      </c>
      <c r="AB4" s="503">
        <v>148.92000000000002</v>
      </c>
      <c r="AC4" s="425"/>
    </row>
    <row r="5" spans="2:29">
      <c r="B5" s="412" t="s">
        <v>1994</v>
      </c>
      <c r="C5" s="412" t="s">
        <v>3340</v>
      </c>
      <c r="D5" s="412" t="s">
        <v>65</v>
      </c>
      <c r="E5" s="415">
        <v>91</v>
      </c>
      <c r="F5" s="677">
        <v>600</v>
      </c>
      <c r="G5" s="677">
        <v>664.23</v>
      </c>
      <c r="H5" s="677">
        <v>727.83</v>
      </c>
      <c r="I5" s="677">
        <v>790.82</v>
      </c>
      <c r="J5" s="677">
        <v>853.2</v>
      </c>
      <c r="K5" s="677">
        <v>914.97</v>
      </c>
      <c r="L5" s="677">
        <v>976.14</v>
      </c>
      <c r="M5" s="677">
        <v>1036.71</v>
      </c>
      <c r="N5" s="677">
        <v>1096.7</v>
      </c>
      <c r="O5" s="677">
        <v>1156.1099999999999</v>
      </c>
      <c r="P5" s="677">
        <v>1214.94</v>
      </c>
      <c r="Q5" s="677">
        <v>1273.19</v>
      </c>
      <c r="R5" s="677">
        <v>1330.89</v>
      </c>
      <c r="S5" s="677">
        <v>1388.02</v>
      </c>
      <c r="T5" s="677">
        <v>1444.6</v>
      </c>
      <c r="U5" s="677">
        <v>1500.63</v>
      </c>
      <c r="V5" s="677">
        <v>1556.11</v>
      </c>
      <c r="W5" s="677">
        <v>1611.06</v>
      </c>
      <c r="X5" s="677">
        <v>1665.47</v>
      </c>
      <c r="Y5" s="677">
        <v>1719.35</v>
      </c>
      <c r="Z5" s="677">
        <v>1772.71</v>
      </c>
      <c r="AB5" s="503">
        <v>398.58</v>
      </c>
    </row>
    <row r="6" spans="2:29">
      <c r="B6" s="412" t="s">
        <v>3348</v>
      </c>
      <c r="C6" s="412" t="s">
        <v>3344</v>
      </c>
      <c r="D6" s="412" t="s">
        <v>65</v>
      </c>
      <c r="E6" s="415">
        <v>91</v>
      </c>
      <c r="F6" s="677">
        <v>600</v>
      </c>
      <c r="G6" s="677">
        <v>664.23</v>
      </c>
      <c r="H6" s="677">
        <v>727.83</v>
      </c>
      <c r="I6" s="677">
        <v>790.82</v>
      </c>
      <c r="J6" s="677">
        <v>853.2</v>
      </c>
      <c r="K6" s="677">
        <v>914.97</v>
      </c>
      <c r="L6" s="677">
        <v>976.14</v>
      </c>
      <c r="M6" s="677">
        <v>1036.71</v>
      </c>
      <c r="N6" s="677">
        <v>1096.7</v>
      </c>
      <c r="O6" s="677">
        <v>1156.1099999999999</v>
      </c>
      <c r="P6" s="677">
        <v>1214.94</v>
      </c>
      <c r="Q6" s="677">
        <v>1273.19</v>
      </c>
      <c r="R6" s="677">
        <v>1330.89</v>
      </c>
      <c r="S6" s="677">
        <v>1388.02</v>
      </c>
      <c r="T6" s="677">
        <v>1444.6</v>
      </c>
      <c r="U6" s="677">
        <v>1500.63</v>
      </c>
      <c r="V6" s="677">
        <v>1556.11</v>
      </c>
      <c r="W6" s="677">
        <v>1611.06</v>
      </c>
      <c r="X6" s="677">
        <v>1665.47</v>
      </c>
      <c r="Y6" s="677">
        <v>1719.35</v>
      </c>
      <c r="Z6" s="677">
        <v>1772.71</v>
      </c>
      <c r="AB6" s="503">
        <v>398.58</v>
      </c>
    </row>
    <row r="7" spans="2:29">
      <c r="B7" s="412" t="s">
        <v>3349</v>
      </c>
      <c r="C7" s="412" t="s">
        <v>3345</v>
      </c>
      <c r="D7" s="412" t="s">
        <v>65</v>
      </c>
      <c r="E7" s="415">
        <v>91</v>
      </c>
      <c r="F7" s="703">
        <v>600</v>
      </c>
      <c r="G7" s="703">
        <v>664.23</v>
      </c>
      <c r="H7" s="703">
        <v>727.83</v>
      </c>
      <c r="I7" s="703">
        <v>790.82</v>
      </c>
      <c r="J7" s="703">
        <v>853.2</v>
      </c>
      <c r="K7" s="703">
        <v>914.97</v>
      </c>
      <c r="L7" s="703">
        <v>976.14</v>
      </c>
      <c r="M7" s="703">
        <v>1036.71</v>
      </c>
      <c r="N7" s="703">
        <v>1096.7</v>
      </c>
      <c r="O7" s="703">
        <v>1156.1099999999999</v>
      </c>
      <c r="P7" s="703">
        <v>1214.94</v>
      </c>
      <c r="Q7" s="703">
        <v>1273.19</v>
      </c>
      <c r="R7" s="703">
        <v>1330.89</v>
      </c>
      <c r="S7" s="703">
        <v>1388.02</v>
      </c>
      <c r="T7" s="703">
        <v>1444.6</v>
      </c>
      <c r="U7" s="703">
        <v>1500.63</v>
      </c>
      <c r="V7" s="703">
        <v>1556.11</v>
      </c>
      <c r="W7" s="703">
        <v>1611.06</v>
      </c>
      <c r="X7" s="703">
        <v>1665.47</v>
      </c>
      <c r="Y7" s="703">
        <v>1719.35</v>
      </c>
      <c r="Z7" s="703">
        <v>1772.71</v>
      </c>
      <c r="AB7" s="503">
        <v>398.58</v>
      </c>
    </row>
    <row r="8" spans="2:29">
      <c r="B8" s="412" t="s">
        <v>3350</v>
      </c>
      <c r="C8" s="412" t="s">
        <v>3346</v>
      </c>
      <c r="D8" s="412" t="s">
        <v>65</v>
      </c>
      <c r="E8" s="415">
        <v>91</v>
      </c>
      <c r="F8" s="703">
        <v>600</v>
      </c>
      <c r="G8" s="703">
        <v>664.23</v>
      </c>
      <c r="H8" s="703">
        <v>727.83</v>
      </c>
      <c r="I8" s="703">
        <v>790.82</v>
      </c>
      <c r="J8" s="703">
        <v>853.2</v>
      </c>
      <c r="K8" s="703">
        <v>914.97</v>
      </c>
      <c r="L8" s="703">
        <v>976.14</v>
      </c>
      <c r="M8" s="703">
        <v>1036.71</v>
      </c>
      <c r="N8" s="703">
        <v>1096.7</v>
      </c>
      <c r="O8" s="703">
        <v>1156.1099999999999</v>
      </c>
      <c r="P8" s="703">
        <v>1214.94</v>
      </c>
      <c r="Q8" s="703">
        <v>1273.19</v>
      </c>
      <c r="R8" s="703">
        <v>1330.89</v>
      </c>
      <c r="S8" s="703">
        <v>1388.02</v>
      </c>
      <c r="T8" s="703">
        <v>1444.6</v>
      </c>
      <c r="U8" s="703">
        <v>1500.63</v>
      </c>
      <c r="V8" s="703">
        <v>1556.11</v>
      </c>
      <c r="W8" s="703">
        <v>1611.06</v>
      </c>
      <c r="X8" s="703">
        <v>1665.47</v>
      </c>
      <c r="Y8" s="703">
        <v>1719.35</v>
      </c>
      <c r="Z8" s="703">
        <v>1772.71</v>
      </c>
      <c r="AB8" s="503">
        <v>398.58</v>
      </c>
    </row>
    <row r="9" spans="2:29">
      <c r="B9" s="412" t="s">
        <v>3351</v>
      </c>
      <c r="C9" s="412" t="s">
        <v>3347</v>
      </c>
      <c r="D9" s="412" t="s">
        <v>65</v>
      </c>
      <c r="E9" s="415">
        <v>91</v>
      </c>
      <c r="F9" s="703">
        <v>600</v>
      </c>
      <c r="G9" s="703">
        <v>664.23</v>
      </c>
      <c r="H9" s="703">
        <v>727.83</v>
      </c>
      <c r="I9" s="703">
        <v>790.82</v>
      </c>
      <c r="J9" s="703">
        <v>853.2</v>
      </c>
      <c r="K9" s="703">
        <v>914.97</v>
      </c>
      <c r="L9" s="703">
        <v>976.14</v>
      </c>
      <c r="M9" s="703">
        <v>1036.71</v>
      </c>
      <c r="N9" s="703">
        <v>1096.7</v>
      </c>
      <c r="O9" s="703">
        <v>1156.1099999999999</v>
      </c>
      <c r="P9" s="703">
        <v>1214.94</v>
      </c>
      <c r="Q9" s="703">
        <v>1273.19</v>
      </c>
      <c r="R9" s="703">
        <v>1330.89</v>
      </c>
      <c r="S9" s="703">
        <v>1388.02</v>
      </c>
      <c r="T9" s="703">
        <v>1444.6</v>
      </c>
      <c r="U9" s="703">
        <v>1500.63</v>
      </c>
      <c r="V9" s="703">
        <v>1556.11</v>
      </c>
      <c r="W9" s="703">
        <v>1611.06</v>
      </c>
      <c r="X9" s="703">
        <v>1665.47</v>
      </c>
      <c r="Y9" s="703">
        <v>1719.35</v>
      </c>
      <c r="Z9" s="703">
        <v>1772.71</v>
      </c>
      <c r="AB9" s="503">
        <v>398.58</v>
      </c>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9">
    <sortCondition ref="AB5:AB9"/>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2777</v>
      </c>
      <c r="D4" s="625" t="s">
        <v>65</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1994</v>
      </c>
      <c r="C5" s="412" t="s">
        <v>3340</v>
      </c>
      <c r="D5" s="412" t="s">
        <v>65</v>
      </c>
      <c r="E5" s="415">
        <v>91</v>
      </c>
      <c r="F5" s="630" t="s">
        <v>1675</v>
      </c>
      <c r="G5" s="630" t="s">
        <v>3367</v>
      </c>
      <c r="H5" s="630" t="s">
        <v>3367</v>
      </c>
      <c r="I5" s="630" t="s">
        <v>3367</v>
      </c>
      <c r="J5" s="630" t="s">
        <v>3367</v>
      </c>
      <c r="K5" s="630" t="s">
        <v>3367</v>
      </c>
      <c r="L5" s="630" t="s">
        <v>3367</v>
      </c>
      <c r="M5" s="630" t="s">
        <v>3367</v>
      </c>
      <c r="N5" s="630" t="s">
        <v>3367</v>
      </c>
      <c r="O5" s="630" t="s">
        <v>3367</v>
      </c>
      <c r="P5" s="630" t="s">
        <v>3367</v>
      </c>
      <c r="Q5" s="630" t="s">
        <v>3367</v>
      </c>
      <c r="R5" s="630" t="s">
        <v>3367</v>
      </c>
      <c r="S5" s="630" t="s">
        <v>3367</v>
      </c>
      <c r="T5" s="630" t="s">
        <v>3367</v>
      </c>
      <c r="U5" s="630" t="s">
        <v>3367</v>
      </c>
      <c r="V5" s="630" t="s">
        <v>3367</v>
      </c>
      <c r="W5" s="630" t="s">
        <v>3367</v>
      </c>
      <c r="X5" s="630" t="s">
        <v>3367</v>
      </c>
      <c r="Y5" s="630" t="s">
        <v>3367</v>
      </c>
      <c r="Z5" s="387"/>
      <c r="AA5" s="450">
        <v>398.58</v>
      </c>
    </row>
    <row r="6" spans="1:28" s="450" customFormat="1">
      <c r="A6" s="387"/>
      <c r="B6" s="412" t="s">
        <v>3348</v>
      </c>
      <c r="C6" s="412" t="s">
        <v>3344</v>
      </c>
      <c r="D6" s="412" t="s">
        <v>65</v>
      </c>
      <c r="E6" s="415">
        <v>91</v>
      </c>
      <c r="F6" s="630" t="s">
        <v>1675</v>
      </c>
      <c r="G6" s="630" t="s">
        <v>3367</v>
      </c>
      <c r="H6" s="630" t="s">
        <v>3367</v>
      </c>
      <c r="I6" s="630" t="s">
        <v>3367</v>
      </c>
      <c r="J6" s="630" t="s">
        <v>3367</v>
      </c>
      <c r="K6" s="630" t="s">
        <v>3367</v>
      </c>
      <c r="L6" s="630" t="s">
        <v>3367</v>
      </c>
      <c r="M6" s="630" t="s">
        <v>3367</v>
      </c>
      <c r="N6" s="630" t="s">
        <v>3367</v>
      </c>
      <c r="O6" s="630" t="s">
        <v>3367</v>
      </c>
      <c r="P6" s="630" t="s">
        <v>3367</v>
      </c>
      <c r="Q6" s="630" t="s">
        <v>3367</v>
      </c>
      <c r="R6" s="630" t="s">
        <v>3367</v>
      </c>
      <c r="S6" s="630" t="s">
        <v>3367</v>
      </c>
      <c r="T6" s="630" t="s">
        <v>3367</v>
      </c>
      <c r="U6" s="630" t="s">
        <v>3367</v>
      </c>
      <c r="V6" s="630" t="s">
        <v>3367</v>
      </c>
      <c r="W6" s="630" t="s">
        <v>3367</v>
      </c>
      <c r="X6" s="630" t="s">
        <v>3367</v>
      </c>
      <c r="Y6" s="630" t="s">
        <v>3367</v>
      </c>
      <c r="Z6" s="387"/>
      <c r="AA6" s="450">
        <v>398.58</v>
      </c>
    </row>
    <row r="7" spans="1:28" s="450" customFormat="1">
      <c r="A7" s="387"/>
      <c r="B7" s="699" t="s">
        <v>3349</v>
      </c>
      <c r="C7" s="699" t="s">
        <v>3345</v>
      </c>
      <c r="D7" s="699" t="s">
        <v>65</v>
      </c>
      <c r="E7" s="415">
        <v>91</v>
      </c>
      <c r="F7" s="630" t="s">
        <v>1675</v>
      </c>
      <c r="G7" s="630" t="s">
        <v>3367</v>
      </c>
      <c r="H7" s="630" t="s">
        <v>3367</v>
      </c>
      <c r="I7" s="630" t="s">
        <v>3367</v>
      </c>
      <c r="J7" s="630" t="s">
        <v>3367</v>
      </c>
      <c r="K7" s="630" t="s">
        <v>3367</v>
      </c>
      <c r="L7" s="630" t="s">
        <v>3367</v>
      </c>
      <c r="M7" s="630" t="s">
        <v>3367</v>
      </c>
      <c r="N7" s="630" t="s">
        <v>3367</v>
      </c>
      <c r="O7" s="630" t="s">
        <v>3367</v>
      </c>
      <c r="P7" s="630" t="s">
        <v>3367</v>
      </c>
      <c r="Q7" s="630" t="s">
        <v>3367</v>
      </c>
      <c r="R7" s="630" t="s">
        <v>3367</v>
      </c>
      <c r="S7" s="630" t="s">
        <v>3367</v>
      </c>
      <c r="T7" s="630" t="s">
        <v>3367</v>
      </c>
      <c r="U7" s="630" t="s">
        <v>3367</v>
      </c>
      <c r="V7" s="630" t="s">
        <v>3367</v>
      </c>
      <c r="W7" s="630" t="s">
        <v>3367</v>
      </c>
      <c r="X7" s="630" t="s">
        <v>3367</v>
      </c>
      <c r="Y7" s="630" t="s">
        <v>3367</v>
      </c>
      <c r="Z7" s="387"/>
      <c r="AA7" s="450">
        <v>398.58</v>
      </c>
    </row>
    <row r="8" spans="1:28">
      <c r="B8" s="412" t="s">
        <v>3350</v>
      </c>
      <c r="C8" s="412" t="s">
        <v>3346</v>
      </c>
      <c r="D8" s="412" t="s">
        <v>65</v>
      </c>
      <c r="E8" s="415">
        <v>91</v>
      </c>
      <c r="F8" s="630" t="s">
        <v>1675</v>
      </c>
      <c r="G8" s="630" t="s">
        <v>3367</v>
      </c>
      <c r="H8" s="630" t="s">
        <v>3367</v>
      </c>
      <c r="I8" s="630" t="s">
        <v>3367</v>
      </c>
      <c r="J8" s="630" t="s">
        <v>3367</v>
      </c>
      <c r="K8" s="630" t="s">
        <v>3367</v>
      </c>
      <c r="L8" s="630" t="s">
        <v>3367</v>
      </c>
      <c r="M8" s="630" t="s">
        <v>3367</v>
      </c>
      <c r="N8" s="630" t="s">
        <v>3367</v>
      </c>
      <c r="O8" s="630" t="s">
        <v>3367</v>
      </c>
      <c r="P8" s="630" t="s">
        <v>3367</v>
      </c>
      <c r="Q8" s="630" t="s">
        <v>3367</v>
      </c>
      <c r="R8" s="630" t="s">
        <v>3367</v>
      </c>
      <c r="S8" s="630" t="s">
        <v>3367</v>
      </c>
      <c r="T8" s="630" t="s">
        <v>3367</v>
      </c>
      <c r="U8" s="630" t="s">
        <v>3367</v>
      </c>
      <c r="V8" s="630" t="s">
        <v>3367</v>
      </c>
      <c r="W8" s="630" t="s">
        <v>3367</v>
      </c>
      <c r="X8" s="630" t="s">
        <v>3367</v>
      </c>
      <c r="Y8" s="630" t="s">
        <v>3367</v>
      </c>
      <c r="AA8" s="450">
        <v>398.58</v>
      </c>
    </row>
    <row r="9" spans="1:28">
      <c r="B9" s="412" t="s">
        <v>3351</v>
      </c>
      <c r="C9" s="412" t="s">
        <v>3347</v>
      </c>
      <c r="D9" s="412" t="s">
        <v>65</v>
      </c>
      <c r="E9" s="415">
        <v>91</v>
      </c>
      <c r="F9" s="630" t="s">
        <v>1675</v>
      </c>
      <c r="G9" s="630" t="s">
        <v>3367</v>
      </c>
      <c r="H9" s="630" t="s">
        <v>3367</v>
      </c>
      <c r="I9" s="630" t="s">
        <v>3367</v>
      </c>
      <c r="J9" s="630" t="s">
        <v>3367</v>
      </c>
      <c r="K9" s="630" t="s">
        <v>3367</v>
      </c>
      <c r="L9" s="630" t="s">
        <v>3367</v>
      </c>
      <c r="M9" s="630" t="s">
        <v>3367</v>
      </c>
      <c r="N9" s="630" t="s">
        <v>3367</v>
      </c>
      <c r="O9" s="630" t="s">
        <v>3367</v>
      </c>
      <c r="P9" s="630" t="s">
        <v>3367</v>
      </c>
      <c r="Q9" s="630" t="s">
        <v>3367</v>
      </c>
      <c r="R9" s="630" t="s">
        <v>3367</v>
      </c>
      <c r="S9" s="630" t="s">
        <v>3367</v>
      </c>
      <c r="T9" s="630" t="s">
        <v>3367</v>
      </c>
      <c r="U9" s="630" t="s">
        <v>3367</v>
      </c>
      <c r="V9" s="630" t="s">
        <v>3367</v>
      </c>
      <c r="W9" s="630" t="s">
        <v>3367</v>
      </c>
      <c r="X9" s="630" t="s">
        <v>3367</v>
      </c>
      <c r="Y9" s="630" t="s">
        <v>3367</v>
      </c>
      <c r="AA9" s="450">
        <v>398.58</v>
      </c>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9">
    <sortCondition ref="AA5:AA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201</vt:i4>
      </vt:variant>
    </vt:vector>
  </HeadingPairs>
  <TitlesOfParts>
    <vt:vector size="234"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2015-01-27T22:00:53Z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