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firstSheet="7" activeTab="8"/>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Scratch" sheetId="60" r:id="rId9"/>
    <sheet name="Delete IES" sheetId="34" r:id="rId10"/>
    <sheet name="Add IES Files" sheetId="29" r:id="rId11"/>
    <sheet name="MResults" sheetId="10" r:id="rId12"/>
    <sheet name="Info" sheetId="28" r:id="rId13"/>
    <sheet name="CostCalcs" sheetId="35" r:id="rId14"/>
    <sheet name="Assumptions" sheetId="7" r:id="rId15"/>
    <sheet name="FixtureData" sheetId="2" r:id="rId16"/>
    <sheet name="Chart Data Baseline" sheetId="37" r:id="rId17"/>
    <sheet name="Chart Data Upgrade" sheetId="40" r:id="rId18"/>
    <sheet name="Illuminance Calcs" sheetId="39" r:id="rId19"/>
    <sheet name="Luminance Calcs" sheetId="43" r:id="rId20"/>
    <sheet name="Luminance Calcs CIE" sheetId="55" r:id="rId21"/>
    <sheet name="InfoBoxes" sheetId="9" r:id="rId22"/>
    <sheet name="Rtables" sheetId="36" r:id="rId23"/>
    <sheet name="Translation" sheetId="33" r:id="rId24"/>
    <sheet name="Versions" sheetId="23"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10">'Add IES Files'!$A$19:$C$19</definedName>
    <definedName name="_xlnm._FilterDatabase" localSheetId="11">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fileRecoveryPr repairLoad="1"/>
</workbook>
</file>

<file path=xl/calcChain.xml><?xml version="1.0" encoding="utf-8"?>
<calcChain xmlns="http://schemas.openxmlformats.org/spreadsheetml/2006/main">
  <c r="B4" i="2" l="1" a="1"/>
  <c r="B4" i="2" s="1"/>
  <c r="G5" i="2"/>
  <c r="H5" i="2"/>
  <c r="I17" i="2"/>
  <c r="I5" i="2" s="1"/>
  <c r="J17" i="2"/>
  <c r="J5" i="2" s="1"/>
  <c r="K17" i="2"/>
  <c r="K5" i="2" s="1"/>
  <c r="L17" i="2"/>
  <c r="L5" i="2" s="1"/>
  <c r="M17" i="2"/>
  <c r="M5" i="2" s="1"/>
  <c r="N17" i="2"/>
  <c r="N5" i="2" s="1"/>
  <c r="O17" i="2"/>
  <c r="O5" i="2" s="1"/>
  <c r="B18" i="2"/>
  <c r="G18" i="2"/>
  <c r="I18" i="2" s="1"/>
  <c r="H18" i="2"/>
  <c r="K18" i="2"/>
  <c r="L18" i="2"/>
  <c r="M18" i="2"/>
  <c r="N18" i="2"/>
  <c r="O18" i="2"/>
  <c r="B19" i="2"/>
  <c r="G19" i="2"/>
  <c r="I19" i="2" s="1"/>
  <c r="J19" i="2" s="1"/>
  <c r="H19" i="2"/>
  <c r="K19" i="2"/>
  <c r="L19" i="2"/>
  <c r="M19" i="2"/>
  <c r="N19" i="2"/>
  <c r="O19" i="2"/>
  <c r="M6" i="2" l="1"/>
  <c r="L6" i="2"/>
  <c r="B6" i="2"/>
  <c r="B7" i="2" s="1"/>
  <c r="B15" i="2" s="1"/>
  <c r="B17" i="2" s="1"/>
  <c r="O6" i="2"/>
  <c r="K6" i="2"/>
  <c r="N6" i="2"/>
  <c r="H6" i="2"/>
  <c r="I6" i="2"/>
  <c r="J18" i="2"/>
  <c r="J6" i="2" s="1"/>
  <c r="G6" i="2"/>
  <c r="S78" i="17"/>
  <c r="D78" i="17"/>
  <c r="S77" i="17"/>
  <c r="D77" i="17"/>
  <c r="S76" i="17"/>
  <c r="D76" i="17"/>
  <c r="S75" i="17"/>
  <c r="D75" i="17"/>
  <c r="B10" i="2" l="1"/>
  <c r="B14" i="2"/>
  <c r="B16" i="2"/>
  <c r="B11" i="2"/>
  <c r="B13" i="2"/>
  <c r="B8" i="2"/>
  <c r="B12" i="2"/>
  <c r="B9" i="2"/>
  <c r="F27" i="33"/>
  <c r="H527" i="33"/>
  <c r="C16" i="58"/>
  <c r="A10" i="59"/>
  <c r="A13" i="59"/>
  <c r="B13" i="59" s="1"/>
  <c r="L3" i="10"/>
  <c r="M3" i="10"/>
  <c r="D7" i="39"/>
  <c r="D4" i="39"/>
  <c r="C50" i="59"/>
  <c r="D50" i="59" s="1"/>
  <c r="C51" i="59"/>
  <c r="D51" i="59"/>
  <c r="C52" i="59"/>
  <c r="D52" i="59" s="1"/>
  <c r="C53" i="59"/>
  <c r="D53" i="59" s="1"/>
  <c r="C38" i="59"/>
  <c r="D38" i="59" s="1"/>
  <c r="C39" i="59"/>
  <c r="D39" i="59" s="1"/>
  <c r="C40" i="59"/>
  <c r="D40" i="59" s="1"/>
  <c r="C42" i="59"/>
  <c r="D42" i="59"/>
  <c r="C43" i="59"/>
  <c r="D43" i="59" s="1"/>
  <c r="C45" i="59"/>
  <c r="D45" i="59"/>
  <c r="C46" i="59"/>
  <c r="D46" i="59" s="1"/>
  <c r="C47" i="59"/>
  <c r="D47" i="59"/>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A17" i="8" s="1"/>
  <c r="AB16" i="8"/>
  <c r="D32" i="17"/>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523" i="33" s="1"/>
  <c r="B23" i="8" s="1"/>
  <c r="C2" i="33" a="1"/>
  <c r="C2" i="33"/>
  <c r="C4" i="36"/>
  <c r="H34" i="36" s="1"/>
  <c r="C3" i="35"/>
  <c r="C4" i="35"/>
  <c r="C5" i="35"/>
  <c r="B46" i="35"/>
  <c r="B47" i="35"/>
  <c r="D4" i="43"/>
  <c r="D7" i="43"/>
  <c r="D8" i="43"/>
  <c r="C4" i="39"/>
  <c r="H3" i="10" s="1"/>
  <c r="C5" i="39"/>
  <c r="I3" i="10" s="1"/>
  <c r="C6" i="39"/>
  <c r="J3" i="10" s="1"/>
  <c r="B9" i="35"/>
  <c r="B10" i="35"/>
  <c r="B1" i="10" a="1"/>
  <c r="B1" i="10" s="1"/>
  <c r="V3" i="10"/>
  <c r="W3" i="10"/>
  <c r="BU3" i="10"/>
  <c r="BV3" i="10"/>
  <c r="BX3" i="10"/>
  <c r="BY3" i="10"/>
  <c r="BZ3" i="10"/>
  <c r="CA3" i="10"/>
  <c r="CB3" i="10"/>
  <c r="CC3" i="10"/>
  <c r="E1" i="17" a="1"/>
  <c r="E1" i="17" s="1"/>
  <c r="C35" i="17" a="1"/>
  <c r="C35" i="17" s="1"/>
  <c r="C47" i="58" s="1" a="1"/>
  <c r="C47" i="58"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D71" i="17"/>
  <c r="D51" i="17"/>
  <c r="C6" i="43"/>
  <c r="C4" i="43"/>
  <c r="Q3" i="10" s="1"/>
  <c r="U14" i="36"/>
  <c r="C7" i="36"/>
  <c r="M9" i="36"/>
  <c r="B16" i="33"/>
  <c r="D15" i="26" s="1"/>
  <c r="C4" i="33"/>
  <c r="J16" i="36"/>
  <c r="D33" i="36"/>
  <c r="U18" i="36"/>
  <c r="R8" i="36"/>
  <c r="C24" i="36"/>
  <c r="L15" i="36"/>
  <c r="P16" i="36"/>
  <c r="C15" i="36"/>
  <c r="W12" i="36"/>
  <c r="E28" i="36"/>
  <c r="J9" i="36"/>
  <c r="D30" i="36"/>
  <c r="F6" i="36"/>
  <c r="K9" i="36"/>
  <c r="J8" i="36"/>
  <c r="H9" i="36"/>
  <c r="F7" i="36"/>
  <c r="P11" i="36"/>
  <c r="E34" i="36"/>
  <c r="C27" i="36"/>
  <c r="Q6" i="36"/>
  <c r="E15" i="36"/>
  <c r="O20" i="36"/>
  <c r="H26" i="36"/>
  <c r="Q9" i="36"/>
  <c r="E31" i="36"/>
  <c r="J10" i="36"/>
  <c r="L14" i="36"/>
  <c r="D15" i="36"/>
  <c r="W10" i="36"/>
  <c r="T18" i="36"/>
  <c r="K14" i="36"/>
  <c r="V6" i="36"/>
  <c r="G28" i="36"/>
  <c r="S11" i="36"/>
  <c r="J11" i="36"/>
  <c r="Q8" i="36"/>
  <c r="K7" i="36"/>
  <c r="E10" i="36"/>
  <c r="T10" i="36"/>
  <c r="H23" i="36"/>
  <c r="H6" i="36"/>
  <c r="D5" i="36"/>
  <c r="C12" i="36"/>
  <c r="T5" i="36"/>
  <c r="P9" i="36"/>
  <c r="I6" i="36"/>
  <c r="C31" i="36"/>
  <c r="W6" i="36"/>
  <c r="L17" i="36"/>
  <c r="R17" i="36"/>
  <c r="K12" i="36"/>
  <c r="K19" i="36"/>
  <c r="N12" i="36"/>
  <c r="T15" i="36"/>
  <c r="I16" i="36"/>
  <c r="E17" i="36"/>
  <c r="G24" i="36"/>
  <c r="H30" i="36"/>
  <c r="U20" i="36"/>
  <c r="C23" i="36"/>
  <c r="AA27" i="36"/>
  <c r="C22" i="36"/>
  <c r="D31" i="36"/>
  <c r="D12" i="36"/>
  <c r="W18" i="36"/>
  <c r="P19" i="36"/>
  <c r="W11" i="36"/>
  <c r="F20" i="36"/>
  <c r="V17" i="36"/>
  <c r="G25" i="36"/>
  <c r="S16" i="36"/>
  <c r="G30" i="36"/>
  <c r="I32" i="36"/>
  <c r="G22" i="36"/>
  <c r="P14" i="36"/>
  <c r="E18" i="36"/>
  <c r="M6" i="36"/>
  <c r="E29" i="36"/>
  <c r="M20" i="36"/>
  <c r="I7" i="36"/>
  <c r="E22" i="36"/>
  <c r="G21" i="36"/>
  <c r="H21" i="36"/>
  <c r="O11" i="36"/>
  <c r="I5" i="36"/>
  <c r="V10" i="36"/>
  <c r="AB26" i="36"/>
  <c r="K22" i="36"/>
  <c r="U6" i="36"/>
  <c r="E33" i="36"/>
  <c r="P15" i="36"/>
  <c r="F24" i="36"/>
  <c r="F8" i="36"/>
  <c r="O19" i="36"/>
  <c r="G13" i="36"/>
  <c r="F11" i="36"/>
  <c r="S19" i="36"/>
  <c r="O6" i="36"/>
  <c r="D27" i="36"/>
  <c r="R16" i="36"/>
  <c r="G12" i="36"/>
  <c r="V16" i="36"/>
  <c r="K16" i="36"/>
  <c r="F25" i="36"/>
  <c r="C18" i="36"/>
  <c r="D7" i="36"/>
  <c r="I25" i="36"/>
  <c r="P18" i="36"/>
  <c r="V11" i="36"/>
  <c r="O18" i="36"/>
  <c r="Q5" i="36"/>
  <c r="F28" i="36"/>
  <c r="W5" i="36"/>
  <c r="AB25" i="36"/>
  <c r="P17" i="36"/>
  <c r="M21" i="36"/>
  <c r="I21" i="36"/>
  <c r="U15" i="36"/>
  <c r="Q19" i="36"/>
  <c r="D14" i="36"/>
  <c r="N14" i="36"/>
  <c r="T20" i="36"/>
  <c r="C28" i="36"/>
  <c r="G26" i="36"/>
  <c r="U16" i="36"/>
  <c r="W8" i="36"/>
  <c r="L19" i="36"/>
  <c r="F5" i="36"/>
  <c r="I8" i="36"/>
  <c r="I31" i="36"/>
  <c r="C26" i="36"/>
  <c r="L12" i="36"/>
  <c r="V18" i="36"/>
  <c r="N6" i="36"/>
  <c r="Q7" i="36"/>
  <c r="Q11" i="36"/>
  <c r="W20" i="36"/>
  <c r="O10" i="36"/>
  <c r="E5" i="36"/>
  <c r="E23" i="36"/>
  <c r="M13" i="36"/>
  <c r="H25" i="36"/>
  <c r="C33" i="36"/>
  <c r="K8" i="36"/>
  <c r="E13" i="36"/>
  <c r="D26" i="36"/>
  <c r="S13" i="36"/>
  <c r="N9" i="36"/>
  <c r="E7" i="36"/>
  <c r="U7" i="36"/>
  <c r="G15" i="36"/>
  <c r="F33" i="36"/>
  <c r="N10" i="36"/>
  <c r="C32" i="36"/>
  <c r="F18" i="36"/>
  <c r="C16" i="36"/>
  <c r="E16" i="36"/>
  <c r="C11" i="36"/>
  <c r="H17" i="36"/>
  <c r="H29" i="36"/>
  <c r="E14" i="36"/>
  <c r="Q10" i="36"/>
  <c r="M7" i="36"/>
  <c r="S8" i="36"/>
  <c r="J13" i="36"/>
  <c r="G6" i="36"/>
  <c r="O16" i="36"/>
  <c r="G31" i="36"/>
  <c r="C9" i="36"/>
  <c r="J23" i="36"/>
  <c r="F15" i="36"/>
  <c r="P7" i="36"/>
  <c r="O9" i="36"/>
  <c r="I28" i="36"/>
  <c r="J14" i="36"/>
  <c r="G17" i="36"/>
  <c r="U19" i="36"/>
  <c r="H18" i="36"/>
  <c r="C34" i="36"/>
  <c r="V7" i="36"/>
  <c r="J6" i="36"/>
  <c r="K5" i="36"/>
  <c r="K15" i="36"/>
  <c r="P13" i="36"/>
  <c r="N17" i="36"/>
  <c r="AA26" i="36"/>
  <c r="H7" i="36"/>
  <c r="K23" i="36"/>
  <c r="F31" i="36"/>
  <c r="O15" i="36"/>
  <c r="F16" i="36"/>
  <c r="D23" i="36"/>
  <c r="L7" i="36"/>
  <c r="F29" i="36"/>
  <c r="G14" i="36"/>
  <c r="I24" i="36"/>
  <c r="J15" i="36"/>
  <c r="L21" i="36"/>
  <c r="F30" i="36"/>
  <c r="R7" i="36"/>
  <c r="G27" i="36"/>
  <c r="L10" i="36"/>
  <c r="E8" i="36"/>
  <c r="I26" i="36"/>
  <c r="H31" i="36"/>
  <c r="W19" i="36"/>
  <c r="K13" i="36"/>
  <c r="L18" i="36"/>
  <c r="S12" i="36"/>
  <c r="C10" i="36"/>
  <c r="O8" i="36"/>
  <c r="H10" i="36"/>
  <c r="I14" i="36"/>
  <c r="M10" i="36"/>
  <c r="R18" i="36"/>
  <c r="Q14" i="36"/>
  <c r="U11" i="36"/>
  <c r="E24" i="36"/>
  <c r="F23" i="36"/>
  <c r="D6" i="36"/>
  <c r="T8" i="36"/>
  <c r="S6" i="36"/>
  <c r="I11" i="36"/>
  <c r="O17" i="36"/>
  <c r="N7" i="36"/>
  <c r="D22" i="36"/>
  <c r="C8" i="36"/>
  <c r="V9" i="36"/>
  <c r="D21" i="36"/>
  <c r="G23" i="36"/>
  <c r="P8" i="36"/>
  <c r="H33" i="36"/>
  <c r="N15" i="36"/>
  <c r="T11" i="36"/>
  <c r="D18" i="36"/>
  <c r="R20" i="36"/>
  <c r="D16" i="36"/>
  <c r="R15" i="36"/>
  <c r="F34" i="36"/>
  <c r="R14" i="36"/>
  <c r="J25" i="36"/>
  <c r="G29" i="36"/>
  <c r="AB27" i="36"/>
  <c r="M16" i="36"/>
  <c r="H13" i="36"/>
  <c r="S14" i="36"/>
  <c r="J5" i="36"/>
  <c r="J24" i="36"/>
  <c r="G20" i="36"/>
  <c r="L20" i="36"/>
  <c r="U10" i="36"/>
  <c r="E12" i="36"/>
  <c r="D9" i="36"/>
  <c r="H14" i="36"/>
  <c r="M12" i="36"/>
  <c r="H22" i="36"/>
  <c r="D8" i="36"/>
  <c r="I27" i="36"/>
  <c r="F13" i="36"/>
  <c r="G5" i="36"/>
  <c r="S9" i="36"/>
  <c r="R11" i="36"/>
  <c r="R12" i="36"/>
  <c r="B560" i="33"/>
  <c r="B14" i="58"/>
  <c r="B522" i="33"/>
  <c r="B373" i="33"/>
  <c r="Z2" i="10"/>
  <c r="B442" i="33"/>
  <c r="G3" i="47" s="1"/>
  <c r="B341" i="33"/>
  <c r="A244" i="28"/>
  <c r="B322" i="33"/>
  <c r="A1" i="29" s="1"/>
  <c r="B435" i="33"/>
  <c r="L3" i="46"/>
  <c r="B109" i="33"/>
  <c r="B58" i="26" s="1"/>
  <c r="B362" i="33"/>
  <c r="A439" i="28"/>
  <c r="B401" i="33"/>
  <c r="B33" i="33"/>
  <c r="D43" i="21" s="1"/>
  <c r="B284" i="33"/>
  <c r="B3" i="26" s="1"/>
  <c r="B370" i="33"/>
  <c r="B220" i="33"/>
  <c r="C220" i="6"/>
  <c r="B128" i="33"/>
  <c r="B51" i="8"/>
  <c r="B18" i="35" s="1"/>
  <c r="B60" i="33"/>
  <c r="H44" i="21" s="1"/>
  <c r="B232" i="33"/>
  <c r="B36" i="17" s="1"/>
  <c r="B503" i="33"/>
  <c r="AC31" i="53"/>
  <c r="B351" i="33"/>
  <c r="B494" i="33"/>
  <c r="AC21" i="53"/>
  <c r="B287" i="33"/>
  <c r="C75" i="6" s="1"/>
  <c r="B184" i="33"/>
  <c r="B536" i="33"/>
  <c r="B10" i="59"/>
  <c r="B499" i="33"/>
  <c r="AC27" i="53" s="1"/>
  <c r="B526" i="33"/>
  <c r="B160" i="33"/>
  <c r="E67" i="6"/>
  <c r="B40" i="33"/>
  <c r="F26" i="21"/>
  <c r="B52" i="33"/>
  <c r="C69" i="21"/>
  <c r="B466" i="33"/>
  <c r="J3" i="54"/>
  <c r="B556" i="33"/>
  <c r="B38" i="33"/>
  <c r="C5" i="21" s="1"/>
  <c r="B297" i="33"/>
  <c r="B114" i="33"/>
  <c r="B26" i="26"/>
  <c r="B273" i="33"/>
  <c r="B6" i="43"/>
  <c r="B144" i="33"/>
  <c r="I19" i="6"/>
  <c r="B361" i="33"/>
  <c r="A419" i="28"/>
  <c r="B250" i="33"/>
  <c r="K65" i="26"/>
  <c r="B122" i="33"/>
  <c r="A132" i="58"/>
  <c r="B441" i="33"/>
  <c r="F3" i="47"/>
  <c r="B225" i="33"/>
  <c r="C225" i="6"/>
  <c r="B256" i="33"/>
  <c r="B11" i="35"/>
  <c r="B131" i="33"/>
  <c r="B79" i="33"/>
  <c r="D88" i="21"/>
  <c r="B207" i="33"/>
  <c r="H170" i="6" s="1"/>
  <c r="B444" i="33"/>
  <c r="F3" i="48"/>
  <c r="B364" i="33"/>
  <c r="A459" i="28" s="1"/>
  <c r="B163" i="33"/>
  <c r="G18" i="6"/>
  <c r="B44" i="59" s="1"/>
  <c r="B334" i="33"/>
  <c r="A160" i="28" s="1"/>
  <c r="B242" i="33"/>
  <c r="C8" i="8" s="1"/>
  <c r="B12" i="33"/>
  <c r="C3" i="21" s="1"/>
  <c r="B267" i="33"/>
  <c r="B7" i="43"/>
  <c r="B189" i="33"/>
  <c r="D24" i="8" s="1"/>
  <c r="D30" i="59" s="1"/>
  <c r="B291" i="33"/>
  <c r="H194" i="6"/>
  <c r="B315" i="33"/>
  <c r="B26" i="22"/>
  <c r="B345" i="33"/>
  <c r="A285" i="28"/>
  <c r="B428" i="33"/>
  <c r="E3" i="57"/>
  <c r="E3" i="47"/>
  <c r="B447" i="33"/>
  <c r="I3" i="48" s="1"/>
  <c r="V13" i="36"/>
  <c r="B492" i="33"/>
  <c r="B437" i="33"/>
  <c r="N3" i="46" s="1"/>
  <c r="B171" i="33"/>
  <c r="E183" i="6" s="1"/>
  <c r="B429" i="33"/>
  <c r="F3" i="46" s="1"/>
  <c r="B90" i="33"/>
  <c r="A121" i="28"/>
  <c r="B575" i="33"/>
  <c r="B374" i="33"/>
  <c r="AA2" i="10"/>
  <c r="B154" i="33"/>
  <c r="H55" i="6" s="1"/>
  <c r="B272" i="33"/>
  <c r="B5" i="43"/>
  <c r="B533" i="33"/>
  <c r="B167" i="33"/>
  <c r="E180" i="6" s="1"/>
  <c r="B458" i="33"/>
  <c r="N3" i="49" s="1"/>
  <c r="B120" i="33"/>
  <c r="B51" i="26" s="1"/>
  <c r="B124" i="33"/>
  <c r="B204" i="33"/>
  <c r="B34" i="6" s="1"/>
  <c r="B63" i="33"/>
  <c r="D36" i="21"/>
  <c r="B41" i="33"/>
  <c r="D87" i="21" s="1"/>
  <c r="B527" i="33"/>
  <c r="B140" i="33"/>
  <c r="B100" i="33"/>
  <c r="A31" i="28" s="1"/>
  <c r="B156" i="33"/>
  <c r="B37" i="6"/>
  <c r="B368" i="33"/>
  <c r="C5" i="6" s="1"/>
  <c r="B463" i="33"/>
  <c r="G3" i="54"/>
  <c r="B577" i="33"/>
  <c r="A492" i="28" s="1"/>
  <c r="B352" i="33"/>
  <c r="A332" i="28"/>
  <c r="B222" i="33"/>
  <c r="C222" i="6" s="1"/>
  <c r="B241" i="33"/>
  <c r="Z65" i="26"/>
  <c r="B161" i="33"/>
  <c r="B39" i="33"/>
  <c r="D102" i="21" s="1"/>
  <c r="B409" i="33"/>
  <c r="C1" i="55" s="1"/>
  <c r="B385" i="33"/>
  <c r="F14" i="36"/>
  <c r="E26" i="36"/>
  <c r="I20" i="36"/>
  <c r="I30" i="36"/>
  <c r="E27" i="36"/>
  <c r="B574" i="33"/>
  <c r="A14" i="59"/>
  <c r="C3" i="33"/>
  <c r="E91" i="6"/>
  <c r="B265" i="33"/>
  <c r="C13" i="6" s="1"/>
  <c r="B36" i="59"/>
  <c r="B397" i="33"/>
  <c r="B248" i="33"/>
  <c r="B547" i="33"/>
  <c r="B32" i="17"/>
  <c r="B55" i="59" s="1"/>
  <c r="B433" i="33"/>
  <c r="J3" i="46" s="1"/>
  <c r="B488" i="33"/>
  <c r="B327" i="33"/>
  <c r="A81" i="28"/>
  <c r="B15" i="33"/>
  <c r="D14" i="26" s="1"/>
  <c r="B158" i="33"/>
  <c r="C202" i="6"/>
  <c r="B146" i="33"/>
  <c r="D203" i="6" s="1"/>
  <c r="B309" i="33"/>
  <c r="B558" i="33"/>
  <c r="B6" i="17"/>
  <c r="B206" i="33"/>
  <c r="I170" i="6" s="1"/>
  <c r="B221" i="33"/>
  <c r="C221" i="6"/>
  <c r="B44" i="33"/>
  <c r="E25" i="21" s="1"/>
  <c r="B180" i="33"/>
  <c r="E79" i="6"/>
  <c r="B166" i="33"/>
  <c r="E181" i="6" s="1"/>
  <c r="B257" i="33"/>
  <c r="B312" i="33"/>
  <c r="B20" i="34"/>
  <c r="B22" i="33"/>
  <c r="B24" i="26"/>
  <c r="B303" i="33"/>
  <c r="B103" i="33"/>
  <c r="B431" i="33"/>
  <c r="H3" i="46"/>
  <c r="B307" i="33"/>
  <c r="B514" i="33"/>
  <c r="A6" i="29" s="1"/>
  <c r="B497" i="33"/>
  <c r="AC25" i="53"/>
  <c r="B387" i="33"/>
  <c r="B294" i="33"/>
  <c r="V65" i="26"/>
  <c r="B355" i="33"/>
  <c r="A356" i="28" s="1"/>
  <c r="B91" i="33"/>
  <c r="A123" i="28"/>
  <c r="B275" i="33"/>
  <c r="B20" i="7" s="1"/>
  <c r="B330" i="33"/>
  <c r="A93" i="28"/>
  <c r="B386" i="33"/>
  <c r="B348" i="33"/>
  <c r="B342" i="33"/>
  <c r="A245" i="28"/>
  <c r="B47" i="33"/>
  <c r="D97" i="21" s="1"/>
  <c r="B182" i="33"/>
  <c r="E187" i="6"/>
  <c r="B356" i="33"/>
  <c r="N36" i="17" s="1"/>
  <c r="B202" i="33"/>
  <c r="E172" i="6"/>
  <c r="B532" i="33"/>
  <c r="B544" i="33"/>
  <c r="B7" i="59"/>
  <c r="B338" i="33"/>
  <c r="A200" i="28"/>
  <c r="B125" i="33"/>
  <c r="B476" i="33"/>
  <c r="B264" i="33"/>
  <c r="B141" i="33"/>
  <c r="G19" i="6" s="1"/>
  <c r="B45" i="59" s="1"/>
  <c r="B14" i="33"/>
  <c r="C13" i="26" s="1"/>
  <c r="B302" i="33"/>
  <c r="B173" i="33"/>
  <c r="B482" i="33"/>
  <c r="B150" i="33"/>
  <c r="E65" i="6" s="1"/>
  <c r="B477" i="33"/>
  <c r="B164" i="33"/>
  <c r="B308" i="33"/>
  <c r="B18" i="33"/>
  <c r="F15" i="26"/>
  <c r="B569" i="33"/>
  <c r="B432" i="33"/>
  <c r="B424" i="33"/>
  <c r="AC12" i="53"/>
  <c r="B234" i="33"/>
  <c r="E17" i="17"/>
  <c r="B57" i="59" s="1"/>
  <c r="B293" i="33"/>
  <c r="U65" i="26"/>
  <c r="B98" i="33"/>
  <c r="A104" i="28" s="1"/>
  <c r="B390" i="33"/>
  <c r="B142" i="33"/>
  <c r="B216" i="33"/>
  <c r="C216" i="6" s="1"/>
  <c r="B426" i="33"/>
  <c r="C3" i="47"/>
  <c r="B344" i="33"/>
  <c r="A266" i="28" s="1"/>
  <c r="B203" i="33"/>
  <c r="E179" i="6" s="1"/>
  <c r="B430" i="33"/>
  <c r="G3" i="46" s="1"/>
  <c r="B186" i="33"/>
  <c r="B125" i="6" s="1"/>
  <c r="B306" i="33"/>
  <c r="B425" i="33"/>
  <c r="B3" i="57"/>
  <c r="B209" i="33"/>
  <c r="E184" i="6" s="1"/>
  <c r="B305" i="33"/>
  <c r="B543" i="33"/>
  <c r="B87" i="33"/>
  <c r="B440" i="33"/>
  <c r="B1" i="47"/>
  <c r="B317" i="33"/>
  <c r="B16" i="29" s="1"/>
  <c r="B218" i="33"/>
  <c r="C218" i="6"/>
  <c r="B550" i="33"/>
  <c r="B227" i="33"/>
  <c r="C1" i="17" s="1"/>
  <c r="B127" i="33"/>
  <c r="CC2" i="10"/>
  <c r="B68" i="33"/>
  <c r="D31" i="21" s="1"/>
  <c r="B247" i="33"/>
  <c r="J65" i="26"/>
  <c r="B244" i="33"/>
  <c r="I65" i="26" s="1"/>
  <c r="B200" i="33"/>
  <c r="E20" i="6" s="1"/>
  <c r="E21" i="6" s="1"/>
  <c r="B249" i="33"/>
  <c r="J2" i="10"/>
  <c r="B562" i="33"/>
  <c r="B169" i="33"/>
  <c r="E193" i="6" s="1"/>
  <c r="B237" i="33"/>
  <c r="C21" i="59"/>
  <c r="B269" i="33"/>
  <c r="B5" i="39" s="1"/>
  <c r="B408" i="33"/>
  <c r="B1" i="55" s="1"/>
  <c r="B329" i="33"/>
  <c r="A88" i="28" s="1"/>
  <c r="B320" i="33"/>
  <c r="B19" i="29"/>
  <c r="B324" i="33"/>
  <c r="E24" i="17" s="1"/>
  <c r="B64" i="59" s="1"/>
  <c r="B105" i="33"/>
  <c r="B56" i="26"/>
  <c r="B571" i="33"/>
  <c r="L17" i="29"/>
  <c r="B491" i="33"/>
  <c r="B378" i="33"/>
  <c r="B478" i="33"/>
  <c r="B559" i="33"/>
  <c r="B5" i="8" s="1"/>
  <c r="B384" i="33"/>
  <c r="B276" i="33"/>
  <c r="B502" i="33"/>
  <c r="AC30" i="53" s="1"/>
  <c r="B205" i="33"/>
  <c r="C192" i="6" s="1"/>
  <c r="B50" i="33"/>
  <c r="D99" i="21" s="1"/>
  <c r="B405" i="33"/>
  <c r="B10" i="39" s="1"/>
  <c r="B65" i="33"/>
  <c r="D7" i="21"/>
  <c r="B489" i="33"/>
  <c r="B453" i="33"/>
  <c r="B194" i="33"/>
  <c r="C156" i="6"/>
  <c r="B136" i="33"/>
  <c r="B481" i="33"/>
  <c r="R3" i="57"/>
  <c r="B261" i="33"/>
  <c r="B11" i="8" s="1"/>
  <c r="B23" i="59" s="1"/>
  <c r="B36" i="33"/>
  <c r="C86" i="21"/>
  <c r="B228" i="33"/>
  <c r="B34" i="17" s="1"/>
  <c r="B46" i="33"/>
  <c r="D89" i="21" s="1"/>
  <c r="B468" i="33"/>
  <c r="F3" i="51" s="1"/>
  <c r="B459" i="33"/>
  <c r="B555" i="33"/>
  <c r="B454" i="33"/>
  <c r="G20" i="6" s="1"/>
  <c r="B46" i="59"/>
  <c r="B540" i="33"/>
  <c r="B12" i="59"/>
  <c r="B17" i="33"/>
  <c r="E15" i="26"/>
  <c r="C15" i="26"/>
  <c r="B115" i="33"/>
  <c r="B52" i="26" s="1"/>
  <c r="B92" i="33"/>
  <c r="A15" i="28"/>
  <c r="B281" i="33"/>
  <c r="B253" i="33"/>
  <c r="O65" i="26"/>
  <c r="B505" i="33"/>
  <c r="D15" i="29"/>
  <c r="B285" i="33"/>
  <c r="B8" i="22"/>
  <c r="B19" i="33"/>
  <c r="B20" i="26"/>
  <c r="B252" i="33"/>
  <c r="L2" i="10"/>
  <c r="B243" i="33"/>
  <c r="B198" i="33"/>
  <c r="C175" i="6" s="1"/>
  <c r="B465" i="33"/>
  <c r="I3" i="54" s="1"/>
  <c r="B21" i="33"/>
  <c r="E20" i="26" s="1"/>
  <c r="C20" i="26" s="1"/>
  <c r="B274" i="33"/>
  <c r="B8" i="43" s="1"/>
  <c r="B153" i="33"/>
  <c r="C11" i="6"/>
  <c r="B113" i="33"/>
  <c r="B50" i="26" s="1"/>
  <c r="B96" i="33"/>
  <c r="A53" i="28"/>
  <c r="B254" i="33"/>
  <c r="H65" i="26" s="1"/>
  <c r="B457" i="33"/>
  <c r="B326" i="33"/>
  <c r="A80" i="28"/>
  <c r="B259" i="33"/>
  <c r="B55" i="26" s="1"/>
  <c r="B126" i="33"/>
  <c r="B122" i="6"/>
  <c r="B59" i="33"/>
  <c r="C55" i="21" s="1"/>
  <c r="B365" i="33"/>
  <c r="A460" i="28"/>
  <c r="B67" i="33"/>
  <c r="C72" i="21" s="1"/>
  <c r="B208" i="33"/>
  <c r="G203" i="6" s="1"/>
  <c r="B548" i="33"/>
  <c r="B14" i="17" s="1"/>
  <c r="B58" i="33"/>
  <c r="C95" i="21"/>
  <c r="B86" i="33"/>
  <c r="B127" i="28" s="1"/>
  <c r="B415" i="33"/>
  <c r="B283" i="33"/>
  <c r="B507" i="33"/>
  <c r="B99" i="33"/>
  <c r="B53" i="33"/>
  <c r="D23" i="21" s="1"/>
  <c r="B568" i="33"/>
  <c r="B7" i="58" s="1"/>
  <c r="B414" i="33"/>
  <c r="B152" i="33"/>
  <c r="C39" i="6" s="1"/>
  <c r="B484" i="33"/>
  <c r="U3" i="57"/>
  <c r="B464" i="33"/>
  <c r="H3" i="54" s="1"/>
  <c r="B240" i="33"/>
  <c r="B102" i="33"/>
  <c r="E22" i="17"/>
  <c r="B62" i="59" s="1"/>
  <c r="B210" i="33"/>
  <c r="C96" i="6"/>
  <c r="B233" i="33"/>
  <c r="P36" i="17" s="1"/>
  <c r="I19" i="29" s="1"/>
  <c r="B119" i="33"/>
  <c r="C7" i="6" s="1"/>
  <c r="B32" i="59"/>
  <c r="B162" i="33"/>
  <c r="C18" i="6"/>
  <c r="B37" i="59" s="1"/>
  <c r="B214" i="33"/>
  <c r="C214" i="6" s="1"/>
  <c r="B94" i="33"/>
  <c r="A68" i="28" s="1"/>
  <c r="B427" i="33"/>
  <c r="B517" i="33"/>
  <c r="A9" i="29"/>
  <c r="B448" i="33"/>
  <c r="J3" i="48" s="1"/>
  <c r="B534" i="33"/>
  <c r="B112" i="33"/>
  <c r="B16" i="26"/>
  <c r="B423" i="33"/>
  <c r="B1" i="53" s="1"/>
  <c r="B174" i="33"/>
  <c r="E170" i="6"/>
  <c r="B421" i="33"/>
  <c r="AC9" i="53" s="1"/>
  <c r="B56" i="33"/>
  <c r="D32" i="21"/>
  <c r="B82" i="33"/>
  <c r="C96" i="21" s="1"/>
  <c r="B545" i="33"/>
  <c r="B8" i="59" s="1"/>
  <c r="B511" i="33"/>
  <c r="B2" i="57" s="1"/>
  <c r="B332" i="33"/>
  <c r="A158" i="28"/>
  <c r="B535" i="33"/>
  <c r="B83" i="33"/>
  <c r="B125" i="28"/>
  <c r="B148" i="33"/>
  <c r="C81" i="6" s="1"/>
  <c r="B191" i="33"/>
  <c r="C54" i="6"/>
  <c r="B170" i="33"/>
  <c r="E182" i="6" s="1"/>
  <c r="B516" i="33"/>
  <c r="A8" i="29"/>
  <c r="B31" i="33"/>
  <c r="E9" i="21" s="1"/>
  <c r="B289" i="33"/>
  <c r="A63" i="26"/>
  <c r="B176" i="33"/>
  <c r="C21" i="6" s="1"/>
  <c r="B40" i="59" s="1"/>
  <c r="B393" i="33"/>
  <c r="B135" i="33"/>
  <c r="B151" i="33"/>
  <c r="B369" i="33"/>
  <c r="B404" i="33"/>
  <c r="B2" i="43" s="1"/>
  <c r="B121" i="33"/>
  <c r="E8" i="8"/>
  <c r="B436" i="33"/>
  <c r="M3" i="46" s="1"/>
  <c r="B518" i="33"/>
  <c r="A10" i="29"/>
  <c r="B262" i="33"/>
  <c r="B15" i="8" s="1"/>
  <c r="B561" i="33"/>
  <c r="B557" i="33"/>
  <c r="A286" i="28"/>
  <c r="B129" i="33"/>
  <c r="AL65" i="26"/>
  <c r="B396" i="33"/>
  <c r="BT1" i="10"/>
  <c r="B412" i="33"/>
  <c r="B268" i="33"/>
  <c r="B4" i="39" s="1"/>
  <c r="B28" i="33"/>
  <c r="D34" i="21" s="1"/>
  <c r="B108" i="33"/>
  <c r="D8" i="58"/>
  <c r="B296" i="33"/>
  <c r="AD65" i="26" s="1"/>
  <c r="B73" i="33"/>
  <c r="B45" i="33"/>
  <c r="D78" i="21"/>
  <c r="B266" i="33"/>
  <c r="G13" i="6"/>
  <c r="B43" i="59" s="1"/>
  <c r="B239" i="33"/>
  <c r="AC17" i="53" s="1"/>
  <c r="B500" i="33"/>
  <c r="AC28" i="53" s="1"/>
  <c r="B542" i="33"/>
  <c r="B80" i="33"/>
  <c r="C15" i="21"/>
  <c r="B183" i="33"/>
  <c r="C58" i="6" s="1"/>
  <c r="B179" i="33"/>
  <c r="G56" i="6" s="1"/>
  <c r="B93" i="33"/>
  <c r="A124" i="28" s="1"/>
  <c r="B212" i="33"/>
  <c r="C137" i="6" s="1"/>
  <c r="B389" i="33"/>
  <c r="B472" i="33"/>
  <c r="J3" i="51"/>
  <c r="B279" i="33"/>
  <c r="B21" i="7" s="1"/>
  <c r="B177" i="33"/>
  <c r="C170" i="6"/>
  <c r="B89" i="33"/>
  <c r="A103" i="28" s="1"/>
  <c r="B13" i="33"/>
  <c r="C6" i="21"/>
  <c r="B42" i="7"/>
  <c r="B76" i="33"/>
  <c r="D100" i="21" s="1"/>
  <c r="B226" i="33"/>
  <c r="C226" i="6" s="1"/>
  <c r="B422" i="33"/>
  <c r="AC10" i="53" s="1"/>
  <c r="B55" i="33"/>
  <c r="J42" i="21"/>
  <c r="B27" i="33"/>
  <c r="B1" i="43"/>
  <c r="B402" i="33"/>
  <c r="B147" i="33"/>
  <c r="F14" i="26" s="1"/>
  <c r="S13" i="26" s="1" a="1"/>
  <c r="B438" i="33"/>
  <c r="O3" i="46" s="1"/>
  <c r="B213" i="33"/>
  <c r="C145" i="6" s="1"/>
  <c r="B376" i="33"/>
  <c r="AC2" i="10" s="1"/>
  <c r="B452" i="33"/>
  <c r="B399" i="33"/>
  <c r="B211" i="33"/>
  <c r="C136" i="6" s="1"/>
  <c r="B57" i="33"/>
  <c r="D37" i="21"/>
  <c r="B23" i="33"/>
  <c r="A23" i="9" s="1"/>
  <c r="B217" i="33"/>
  <c r="C217" i="6" s="1"/>
  <c r="B313" i="33"/>
  <c r="B22" i="34" s="1"/>
  <c r="B29" i="33"/>
  <c r="E10" i="21" s="1"/>
  <c r="B573" i="33"/>
  <c r="B172" i="33"/>
  <c r="E188" i="6"/>
  <c r="B319" i="33"/>
  <c r="A19" i="29" s="1"/>
  <c r="B576" i="33"/>
  <c r="B403" i="33"/>
  <c r="B2" i="39" s="1"/>
  <c r="B229" i="33"/>
  <c r="B181" i="33"/>
  <c r="E192" i="6"/>
  <c r="B407" i="33"/>
  <c r="A1" i="55" s="1"/>
  <c r="B395" i="33"/>
  <c r="C23" i="17"/>
  <c r="B563" i="33"/>
  <c r="B255" i="33"/>
  <c r="F1" i="10" s="1"/>
  <c r="B133" i="33"/>
  <c r="B50" i="8"/>
  <c r="B333" i="33"/>
  <c r="A159" i="28" s="1"/>
  <c r="B515" i="33"/>
  <c r="A7" i="29"/>
  <c r="B37" i="33"/>
  <c r="D101" i="21" s="1"/>
  <c r="B350" i="33"/>
  <c r="A2" i="7" s="1"/>
  <c r="B95" i="33"/>
  <c r="A52" i="28" s="1"/>
  <c r="B546" i="33"/>
  <c r="B19" i="59" s="1"/>
  <c r="B71" i="33"/>
  <c r="D98" i="21" s="1"/>
  <c r="B366" i="33"/>
  <c r="B363" i="33"/>
  <c r="A440" i="28" s="1"/>
  <c r="B70" i="33"/>
  <c r="D21" i="21"/>
  <c r="B138" i="33"/>
  <c r="B40" i="26" s="1"/>
  <c r="B51" i="33"/>
  <c r="D17" i="21"/>
  <c r="B549" i="33"/>
  <c r="E14" i="17" s="1"/>
  <c r="B175" i="33"/>
  <c r="T2" i="10"/>
  <c r="B446" i="33"/>
  <c r="H3" i="48" s="1"/>
  <c r="B394" i="33"/>
  <c r="B24" i="17"/>
  <c r="B286" i="33"/>
  <c r="B10" i="22" s="1"/>
  <c r="B496" i="33"/>
  <c r="AC24" i="53"/>
  <c r="B445" i="33"/>
  <c r="G3" i="48" s="1"/>
  <c r="B258" i="33"/>
  <c r="B375" i="33"/>
  <c r="AB2" i="10"/>
  <c r="B509" i="33"/>
  <c r="B316" i="33"/>
  <c r="A16" i="29"/>
  <c r="B483" i="33"/>
  <c r="U3" i="51" s="1"/>
  <c r="B506" i="33"/>
  <c r="D16" i="29"/>
  <c r="B137" i="33"/>
  <c r="B311" i="33"/>
  <c r="B3" i="34" s="1"/>
  <c r="B449" i="33"/>
  <c r="B54" i="33"/>
  <c r="D24" i="21"/>
  <c r="B30" i="33"/>
  <c r="E11" i="21"/>
  <c r="B260" i="33"/>
  <c r="B8" i="8"/>
  <c r="B187" i="33"/>
  <c r="C183" i="6"/>
  <c r="B564" i="33"/>
  <c r="B263" i="33"/>
  <c r="B38" i="26" s="1"/>
  <c r="B118" i="33"/>
  <c r="C6" i="6"/>
  <c r="B530" i="33"/>
  <c r="B143" i="58"/>
  <c r="B199" i="33"/>
  <c r="J55" i="6"/>
  <c r="B48" i="33"/>
  <c r="D19" i="21"/>
  <c r="B35" i="33"/>
  <c r="D45" i="21"/>
  <c r="B379" i="33"/>
  <c r="B271" i="33"/>
  <c r="B4" i="43" s="1"/>
  <c r="B304" i="33"/>
  <c r="B520" i="33"/>
  <c r="A12" i="29"/>
  <c r="B34" i="33"/>
  <c r="D44" i="21"/>
  <c r="B282" i="33"/>
  <c r="B398" i="33"/>
  <c r="B145" i="33"/>
  <c r="C89" i="6"/>
  <c r="B411" i="33"/>
  <c r="E1" i="55"/>
  <c r="B149" i="33"/>
  <c r="C82" i="6"/>
  <c r="B230" i="33"/>
  <c r="H36" i="17"/>
  <c r="B246" i="33"/>
  <c r="A65" i="26"/>
  <c r="B101" i="33"/>
  <c r="A14" i="28"/>
  <c r="B321" i="33"/>
  <c r="C19" i="29"/>
  <c r="B443" i="33"/>
  <c r="B1" i="48"/>
  <c r="B130" i="33"/>
  <c r="E11" i="8"/>
  <c r="B64" i="33"/>
  <c r="C76" i="21"/>
  <c r="B88" i="33"/>
  <c r="R36" i="17"/>
  <c r="K19" i="29" s="1"/>
  <c r="B504" i="33"/>
  <c r="G6" i="55" s="1"/>
  <c r="B77" i="33"/>
  <c r="F28" i="21" s="1"/>
  <c r="B470" i="33"/>
  <c r="H3" i="51" s="1"/>
  <c r="B359" i="33"/>
  <c r="A398" i="28"/>
  <c r="B410" i="33"/>
  <c r="D1" i="55" s="1"/>
  <c r="B84" i="33"/>
  <c r="B126" i="28"/>
  <c r="B460" i="33"/>
  <c r="B486" i="33"/>
  <c r="W3" i="57"/>
  <c r="B280" i="33"/>
  <c r="B346" i="33"/>
  <c r="A308" i="28" s="1"/>
  <c r="B231" i="33"/>
  <c r="D36" i="17" s="1"/>
  <c r="B455" i="33"/>
  <c r="G21" i="6" s="1"/>
  <c r="B47" i="59"/>
  <c r="B165" i="33"/>
  <c r="C86" i="6" s="1"/>
  <c r="B270" i="33"/>
  <c r="B6" i="39"/>
  <c r="B439" i="33"/>
  <c r="P3" i="46" s="1"/>
  <c r="B132" i="33"/>
  <c r="B28" i="26"/>
  <c r="B474" i="33"/>
  <c r="K3" i="57" s="1"/>
  <c r="B353" i="33"/>
  <c r="A333" i="28"/>
  <c r="B75" i="33"/>
  <c r="D8" i="21" s="1"/>
  <c r="B24" i="33"/>
  <c r="B47" i="26"/>
  <c r="B201" i="33"/>
  <c r="L55" i="6" s="1"/>
  <c r="B570" i="33"/>
  <c r="B143" i="33"/>
  <c r="B382" i="33"/>
  <c r="B501" i="33"/>
  <c r="AC29" i="53" s="1"/>
  <c r="B413" i="33"/>
  <c r="B381" i="33"/>
  <c r="B74" i="33"/>
  <c r="C77" i="21" s="1"/>
  <c r="B521" i="33"/>
  <c r="B32" i="33"/>
  <c r="F25" i="21"/>
  <c r="B479" i="33"/>
  <c r="P3" i="57"/>
  <c r="B354" i="33"/>
  <c r="M36" i="17" s="1"/>
  <c r="A355" i="28"/>
  <c r="B419" i="33"/>
  <c r="AC7" i="53"/>
  <c r="B383" i="33"/>
  <c r="B493" i="33"/>
  <c r="B111" i="33"/>
  <c r="B367" i="33"/>
  <c r="B495" i="33"/>
  <c r="AC22" i="53"/>
  <c r="B490" i="33"/>
  <c r="AC19" i="53"/>
  <c r="B110" i="33"/>
  <c r="B54" i="26"/>
  <c r="B62" i="33"/>
  <c r="C85" i="21"/>
  <c r="B469" i="33"/>
  <c r="B529" i="33"/>
  <c r="B41" i="59" s="1"/>
  <c r="B473" i="33"/>
  <c r="J3" i="57" s="1"/>
  <c r="B336" i="33"/>
  <c r="A178" i="28" s="1"/>
  <c r="B480" i="33"/>
  <c r="B318" i="33"/>
  <c r="C16" i="29" s="1"/>
  <c r="B531" i="33"/>
  <c r="B485" i="33"/>
  <c r="W3" i="51" s="1"/>
  <c r="B380" i="33"/>
  <c r="B512" i="33"/>
  <c r="A15" i="29"/>
  <c r="B288" i="33"/>
  <c r="E84" i="6" s="1"/>
  <c r="B66" i="33"/>
  <c r="C73" i="21"/>
  <c r="B42" i="33"/>
  <c r="J43" i="21" s="1"/>
  <c r="B537" i="33"/>
  <c r="B392" i="33"/>
  <c r="B20" i="33"/>
  <c r="D20" i="26" s="1"/>
  <c r="B155" i="33"/>
  <c r="B154" i="6"/>
  <c r="B528" i="33"/>
  <c r="B33" i="59" s="1"/>
  <c r="B450" i="33"/>
  <c r="L3" i="48"/>
  <c r="B278" i="33"/>
  <c r="B197" i="33"/>
  <c r="C180" i="6" s="1"/>
  <c r="B418" i="33"/>
  <c r="AC6" i="53"/>
  <c r="B371" i="33"/>
  <c r="A491" i="28" s="1"/>
  <c r="B310" i="33"/>
  <c r="B508" i="33"/>
  <c r="AZ1" i="10"/>
  <c r="B97" i="33"/>
  <c r="A33" i="28"/>
  <c r="B357" i="33"/>
  <c r="A378" i="28"/>
  <c r="B168" i="33"/>
  <c r="E186" i="6"/>
  <c r="B43" i="33"/>
  <c r="E27" i="21"/>
  <c r="B541" i="33"/>
  <c r="B85" i="33"/>
  <c r="B128" i="28"/>
  <c r="B157" i="33"/>
  <c r="C185" i="6"/>
  <c r="B434" i="33"/>
  <c r="K3" i="46"/>
  <c r="B107" i="33"/>
  <c r="B30" i="17"/>
  <c r="B323" i="33"/>
  <c r="B524" i="33"/>
  <c r="B27" i="8" s="1"/>
  <c r="B61" i="33"/>
  <c r="D35" i="21" s="1"/>
  <c r="B106" i="33"/>
  <c r="B12" i="17" s="1"/>
  <c r="B360" i="33"/>
  <c r="A418" i="28" s="1"/>
  <c r="B188" i="33"/>
  <c r="C172" i="6" s="1"/>
  <c r="B554" i="33"/>
  <c r="B6" i="59"/>
  <c r="B417" i="33"/>
  <c r="AC5" i="53" s="1"/>
  <c r="B328" i="33"/>
  <c r="A87" i="28"/>
  <c r="B331" i="33"/>
  <c r="A94" i="28" s="1"/>
  <c r="B467" i="33"/>
  <c r="B1" i="51" s="1"/>
  <c r="B78" i="33"/>
  <c r="F29" i="21" s="1"/>
  <c r="B26" i="33"/>
  <c r="B15" i="26" s="1"/>
  <c r="B451" i="33"/>
  <c r="B1" i="49" s="1"/>
  <c r="B238" i="33"/>
  <c r="H2" i="10" s="1"/>
  <c r="Q2" i="10"/>
  <c r="B25" i="33"/>
  <c r="A66" i="26"/>
  <c r="B400" i="33"/>
  <c r="B565" i="33"/>
  <c r="B391" i="33"/>
  <c r="B552" i="33"/>
  <c r="B525" i="33"/>
  <c r="B337" i="33"/>
  <c r="A179" i="28" s="1"/>
  <c r="B117" i="33"/>
  <c r="E7" i="6"/>
  <c r="B196" i="33"/>
  <c r="H202" i="6" s="1"/>
  <c r="B347" i="33"/>
  <c r="A309" i="28" s="1"/>
  <c r="B420" i="33"/>
  <c r="AC8" i="53" s="1"/>
  <c r="B567" i="33"/>
  <c r="B13" i="58" s="1"/>
  <c r="B416" i="33"/>
  <c r="AC4" i="53" s="1"/>
  <c r="B553" i="33"/>
  <c r="B290" i="33"/>
  <c r="H198" i="6" s="1"/>
  <c r="B123" i="33"/>
  <c r="B134" i="33"/>
  <c r="B298" i="33"/>
  <c r="B35" i="26" s="1"/>
  <c r="B295" i="33"/>
  <c r="X2" i="10"/>
  <c r="B245" i="33"/>
  <c r="M65" i="26" s="1"/>
  <c r="B343" i="33"/>
  <c r="A265" i="28"/>
  <c r="B358" i="33"/>
  <c r="E27" i="17" s="1"/>
  <c r="B67" i="59" s="1"/>
  <c r="B551" i="33"/>
  <c r="B519" i="33"/>
  <c r="A11" i="29"/>
  <c r="B461" i="33"/>
  <c r="B1" i="54"/>
  <c r="B185" i="33"/>
  <c r="D202" i="6"/>
  <c r="B539" i="33"/>
  <c r="B377" i="33"/>
  <c r="I22" i="35"/>
  <c r="B192" i="33"/>
  <c r="C169" i="6" s="1"/>
  <c r="B538" i="33"/>
  <c r="B11" i="59" s="1"/>
  <c r="B456" i="33"/>
  <c r="B195" i="33"/>
  <c r="K193" i="6"/>
  <c r="B193" i="33"/>
  <c r="C201" i="6"/>
  <c r="B219" i="33"/>
  <c r="C219" i="6"/>
  <c r="B277" i="33"/>
  <c r="B19" i="7"/>
  <c r="B292" i="33"/>
  <c r="P2" i="10"/>
  <c r="B69" i="33"/>
  <c r="D42" i="21"/>
  <c r="B325" i="33"/>
  <c r="A76" i="28"/>
  <c r="B224" i="33"/>
  <c r="C224" i="6"/>
  <c r="B178" i="33"/>
  <c r="C187" i="6"/>
  <c r="B190" i="33"/>
  <c r="I202" i="6"/>
  <c r="B72" i="33"/>
  <c r="D18" i="21"/>
  <c r="B471" i="33"/>
  <c r="H3" i="57"/>
  <c r="B388" i="33"/>
  <c r="B498" i="33"/>
  <c r="AC26" i="53" s="1"/>
  <c r="B236" i="33"/>
  <c r="K34" i="17" s="1"/>
  <c r="B49" i="33"/>
  <c r="C40" i="21" s="1"/>
  <c r="B340" i="33"/>
  <c r="A223" i="28" s="1"/>
  <c r="B116" i="33"/>
  <c r="B16" i="8"/>
  <c r="B25" i="59" s="1"/>
  <c r="B159" i="33"/>
  <c r="C92" i="6"/>
  <c r="B406" i="33"/>
  <c r="B10" i="43" s="1"/>
  <c r="B139" i="33"/>
  <c r="C189" i="6"/>
  <c r="B510" i="33"/>
  <c r="B314" i="33"/>
  <c r="B25" i="22" s="1"/>
  <c r="B81" i="33"/>
  <c r="D90" i="21"/>
  <c r="B566" i="33"/>
  <c r="B6" i="58" s="1"/>
  <c r="B49" i="59" s="1"/>
  <c r="E19" i="6"/>
  <c r="AX2" i="10"/>
  <c r="BR2" i="10" s="1"/>
  <c r="C3" i="57"/>
  <c r="E69" i="6"/>
  <c r="V3" i="51"/>
  <c r="B9" i="58"/>
  <c r="B51" i="59"/>
  <c r="I2" i="10"/>
  <c r="A3" i="29"/>
  <c r="A32" i="9"/>
  <c r="B44" i="26"/>
  <c r="A36" i="9"/>
  <c r="BT2" i="10"/>
  <c r="A75" i="28"/>
  <c r="C61" i="6"/>
  <c r="E3" i="46"/>
  <c r="D91" i="21"/>
  <c r="D80" i="21"/>
  <c r="A37" i="9"/>
  <c r="A28" i="9"/>
  <c r="E13" i="6"/>
  <c r="BX2" i="10"/>
  <c r="AC14" i="53"/>
  <c r="C3" i="51"/>
  <c r="F3" i="49"/>
  <c r="A30" i="28"/>
  <c r="Q1" i="10"/>
  <c r="AC18" i="53"/>
  <c r="AF2" i="10"/>
  <c r="AZ2" i="10" s="1"/>
  <c r="AJ2" i="10"/>
  <c r="BD2" i="10"/>
  <c r="A33" i="9"/>
  <c r="A34" i="9"/>
  <c r="A39" i="9"/>
  <c r="B49" i="26"/>
  <c r="F2" i="10"/>
  <c r="AB3" i="51" s="1"/>
  <c r="E70" i="6"/>
  <c r="E191" i="6"/>
  <c r="E88" i="6"/>
  <c r="B11" i="58"/>
  <c r="B53" i="59" s="1"/>
  <c r="B59" i="26"/>
  <c r="E18" i="8"/>
  <c r="V2" i="10"/>
  <c r="I3" i="57"/>
  <c r="I12" i="6"/>
  <c r="E12" i="6"/>
  <c r="S3" i="57"/>
  <c r="T3" i="51"/>
  <c r="B10" i="8"/>
  <c r="B22" i="59"/>
  <c r="BU2" i="10"/>
  <c r="AI65" i="26"/>
  <c r="B24" i="8"/>
  <c r="B30" i="59"/>
  <c r="B1" i="46"/>
  <c r="O3" i="51"/>
  <c r="N3" i="57"/>
  <c r="A17" i="58"/>
  <c r="AC20" i="53"/>
  <c r="B7" i="39"/>
  <c r="B42" i="26"/>
  <c r="E12" i="8"/>
  <c r="AE65" i="26"/>
  <c r="AC65" i="26"/>
  <c r="E25" i="17"/>
  <c r="B65" i="59" s="1"/>
  <c r="B46" i="26"/>
  <c r="E36" i="17"/>
  <c r="B27" i="26"/>
  <c r="AP2" i="10"/>
  <c r="BJ2" i="10" s="1"/>
  <c r="AI2" i="10"/>
  <c r="BC2" i="10"/>
  <c r="C65" i="6"/>
  <c r="E18" i="17"/>
  <c r="B58" i="59" s="1"/>
  <c r="B36" i="26"/>
  <c r="AQ65" i="26"/>
  <c r="B20" i="8"/>
  <c r="B29" i="59" s="1"/>
  <c r="W2" i="10"/>
  <c r="M2" i="10"/>
  <c r="K3" i="48"/>
  <c r="L3" i="51"/>
  <c r="U22" i="35"/>
  <c r="F36" i="17"/>
  <c r="E20" i="17"/>
  <c r="B60" i="59" s="1"/>
  <c r="A397" i="28"/>
  <c r="A377" i="28"/>
  <c r="E26" i="17"/>
  <c r="B66" i="59" s="1"/>
  <c r="E21" i="17"/>
  <c r="B61" i="59" s="1"/>
  <c r="I36" i="17"/>
  <c r="E3" i="49"/>
  <c r="BT3" i="10"/>
  <c r="C18" i="35"/>
  <c r="M23" i="35" s="1"/>
  <c r="K36" i="17"/>
  <c r="D16" i="58" s="1"/>
  <c r="E23" i="17"/>
  <c r="B63" i="59" s="1"/>
  <c r="E3" i="48"/>
  <c r="O36" i="17"/>
  <c r="B17" i="35" s="1"/>
  <c r="L36" i="17"/>
  <c r="E19" i="29" s="1"/>
  <c r="Q36" i="17"/>
  <c r="J19" i="29" s="1"/>
  <c r="C2" i="10"/>
  <c r="B251" i="33"/>
  <c r="L65" i="26"/>
  <c r="B572" i="33"/>
  <c r="B223" i="33"/>
  <c r="C223" i="6"/>
  <c r="B462" i="33"/>
  <c r="F3" i="54" s="1"/>
  <c r="B487" i="33"/>
  <c r="X3" i="57"/>
  <c r="B513" i="33"/>
  <c r="A5" i="29" s="1"/>
  <c r="B235" i="33"/>
  <c r="B215" i="33"/>
  <c r="C215" i="6"/>
  <c r="B104" i="33"/>
  <c r="B60" i="26" s="1"/>
  <c r="B475" i="33"/>
  <c r="L3" i="57"/>
  <c r="B339" i="33"/>
  <c r="A201" i="28" s="1"/>
  <c r="B372" i="33"/>
  <c r="AD2" i="10"/>
  <c r="B335" i="33"/>
  <c r="A161" i="28" s="1"/>
  <c r="B349" i="33"/>
  <c r="B35" i="6"/>
  <c r="O3" i="57"/>
  <c r="P3" i="51"/>
  <c r="B3" i="49"/>
  <c r="G2" i="10"/>
  <c r="B12" i="35"/>
  <c r="G65" i="26"/>
  <c r="B43" i="7"/>
  <c r="B45" i="7"/>
  <c r="B44" i="7"/>
  <c r="B29" i="26"/>
  <c r="U2" i="10"/>
  <c r="AC11" i="53"/>
  <c r="E65" i="26"/>
  <c r="AN2" i="10"/>
  <c r="BH2" i="10"/>
  <c r="AQ2" i="10"/>
  <c r="BK2" i="10" s="1"/>
  <c r="AL2" i="10"/>
  <c r="BF2" i="10"/>
  <c r="AS2" i="10"/>
  <c r="BM2" i="10" s="1"/>
  <c r="AY2" i="10"/>
  <c r="BS2" i="10"/>
  <c r="AW2" i="10"/>
  <c r="BQ2" i="10" s="1"/>
  <c r="AO2" i="10"/>
  <c r="BI2" i="10"/>
  <c r="AM2" i="10"/>
  <c r="BG2" i="10" s="1"/>
  <c r="AT2" i="10"/>
  <c r="BN2" i="10"/>
  <c r="B21" i="59"/>
  <c r="A29" i="9"/>
  <c r="A38" i="9"/>
  <c r="A35" i="9"/>
  <c r="A30" i="9"/>
  <c r="A31" i="9"/>
  <c r="X65" i="26"/>
  <c r="Q65" i="26"/>
  <c r="R2" i="10"/>
  <c r="Y3" i="57"/>
  <c r="Z3" i="51"/>
  <c r="B3" i="54"/>
  <c r="B76" i="8"/>
  <c r="D3" i="47"/>
  <c r="D3" i="54"/>
  <c r="D3" i="49"/>
  <c r="D3" i="48"/>
  <c r="AC15" i="53"/>
  <c r="D3" i="51"/>
  <c r="D3" i="57"/>
  <c r="D3" i="46"/>
  <c r="C3" i="49"/>
  <c r="C3" i="48"/>
  <c r="C3" i="54"/>
  <c r="C3" i="46"/>
  <c r="K3" i="49"/>
  <c r="G3" i="49"/>
  <c r="AB65" i="26"/>
  <c r="N3" i="51"/>
  <c r="M3" i="57"/>
  <c r="BY2" i="10"/>
  <c r="F3" i="57"/>
  <c r="G3" i="51"/>
  <c r="E19" i="8"/>
  <c r="C68" i="6"/>
  <c r="CD2" i="10"/>
  <c r="E87" i="6"/>
  <c r="E90" i="6"/>
  <c r="Q3" i="51"/>
  <c r="B5" i="35"/>
  <c r="L9" i="36"/>
  <c r="W9" i="36"/>
  <c r="K18" i="36"/>
  <c r="D19" i="36"/>
  <c r="G11" i="36"/>
  <c r="S10" i="36"/>
  <c r="V15" i="36"/>
  <c r="V12" i="36"/>
  <c r="F32" i="36"/>
  <c r="T14" i="36"/>
  <c r="E9" i="36"/>
  <c r="S17" i="36"/>
  <c r="U17" i="36"/>
  <c r="F22" i="36"/>
  <c r="E20" i="36"/>
  <c r="M18" i="36"/>
  <c r="L13" i="36"/>
  <c r="C14" i="36"/>
  <c r="E21" i="36"/>
  <c r="C25" i="36"/>
  <c r="D20" i="36"/>
  <c r="H24" i="36"/>
  <c r="S7" i="36"/>
  <c r="M15" i="36"/>
  <c r="R6" i="36"/>
  <c r="W14" i="36"/>
  <c r="L22" i="36"/>
  <c r="H5" i="36"/>
  <c r="I12" i="36"/>
  <c r="V8" i="36"/>
  <c r="I19" i="36"/>
  <c r="S18" i="36"/>
  <c r="N19" i="36"/>
  <c r="L6" i="36"/>
  <c r="S5" i="36"/>
  <c r="K6" i="36"/>
  <c r="N18" i="36"/>
  <c r="Q20" i="36"/>
  <c r="T6" i="36"/>
  <c r="J7" i="36"/>
  <c r="G33" i="36"/>
  <c r="D29" i="36"/>
  <c r="P5" i="36"/>
  <c r="K17" i="36"/>
  <c r="I17" i="36"/>
  <c r="O7" i="36"/>
  <c r="J22" i="36"/>
  <c r="Q15" i="36"/>
  <c r="P6" i="36"/>
  <c r="Q17" i="36"/>
  <c r="W13" i="36"/>
  <c r="Q18" i="36"/>
  <c r="D13" i="36"/>
  <c r="W17" i="36"/>
  <c r="I23" i="36"/>
  <c r="D10" i="36"/>
  <c r="T7" i="36"/>
  <c r="H19" i="36"/>
  <c r="M5" i="36"/>
  <c r="L16" i="36"/>
  <c r="M17" i="36"/>
  <c r="S20" i="36"/>
  <c r="U5" i="36"/>
  <c r="H28" i="36"/>
  <c r="M19" i="36"/>
  <c r="J17" i="36"/>
  <c r="N16" i="36"/>
  <c r="O13" i="36"/>
  <c r="K10" i="36"/>
  <c r="K11" i="36"/>
  <c r="J27" i="36"/>
  <c r="H12" i="36"/>
  <c r="I9" i="36"/>
  <c r="D28" i="36"/>
  <c r="J19" i="36"/>
  <c r="C19" i="36"/>
  <c r="C6" i="36"/>
  <c r="S15" i="36"/>
  <c r="T17" i="36"/>
  <c r="G7" i="36"/>
  <c r="F10" i="36"/>
  <c r="F21" i="36"/>
  <c r="C30" i="36"/>
  <c r="T16" i="36"/>
  <c r="F12" i="36"/>
  <c r="G19" i="36"/>
  <c r="Q12" i="36"/>
  <c r="J26" i="36"/>
  <c r="Q13" i="36"/>
  <c r="T19" i="36"/>
  <c r="R9" i="36"/>
  <c r="R5" i="36"/>
  <c r="L5" i="36"/>
  <c r="H20" i="36"/>
  <c r="G10" i="36"/>
  <c r="H8" i="36"/>
  <c r="D34" i="36"/>
  <c r="H11" i="36"/>
  <c r="P10" i="36"/>
  <c r="R19" i="36"/>
  <c r="E19" i="36"/>
  <c r="V20" i="36"/>
  <c r="O5" i="36"/>
  <c r="G34" i="36"/>
  <c r="Q16" i="36"/>
  <c r="F9" i="36"/>
  <c r="I10" i="36"/>
  <c r="M14" i="36"/>
  <c r="J20" i="36"/>
  <c r="W7" i="36"/>
  <c r="V14" i="36"/>
  <c r="J18" i="36"/>
  <c r="E11" i="36"/>
  <c r="E6" i="36"/>
  <c r="O12" i="36"/>
  <c r="G8" i="36"/>
  <c r="D11" i="36"/>
  <c r="M8" i="36"/>
  <c r="N20" i="36"/>
  <c r="D17" i="36"/>
  <c r="J12" i="36"/>
  <c r="G9" i="36"/>
  <c r="R13" i="36"/>
  <c r="E25" i="36"/>
  <c r="I29" i="36"/>
  <c r="O14" i="36"/>
  <c r="F27" i="36"/>
  <c r="K24" i="36"/>
  <c r="T9" i="36"/>
  <c r="C20" i="36"/>
  <c r="F19" i="36"/>
  <c r="N11" i="36"/>
  <c r="H16" i="36"/>
  <c r="C21" i="36"/>
  <c r="I15" i="36"/>
  <c r="N13" i="36"/>
  <c r="W16" i="36"/>
  <c r="U13" i="36"/>
  <c r="T13" i="36"/>
  <c r="U8" i="36"/>
  <c r="K20" i="36"/>
  <c r="N5" i="36"/>
  <c r="L8" i="36"/>
  <c r="C29" i="36"/>
  <c r="G18" i="36"/>
  <c r="U12" i="36"/>
  <c r="R10" i="36"/>
  <c r="D25" i="36"/>
  <c r="G16" i="36"/>
  <c r="D24" i="36"/>
  <c r="H15" i="36"/>
  <c r="D32" i="36"/>
  <c r="I22" i="36"/>
  <c r="P12" i="36"/>
  <c r="V5" i="36"/>
  <c r="V19" i="36"/>
  <c r="U9" i="36"/>
  <c r="G32" i="36"/>
  <c r="H27" i="36"/>
  <c r="M11" i="36"/>
  <c r="I13" i="36"/>
  <c r="J21" i="36"/>
  <c r="L11" i="36"/>
  <c r="F26" i="36"/>
  <c r="C13" i="36"/>
  <c r="E30" i="36"/>
  <c r="AA25" i="36"/>
  <c r="T12" i="36"/>
  <c r="I18" i="36"/>
  <c r="W15" i="36"/>
  <c r="P20" i="36"/>
  <c r="E32" i="36"/>
  <c r="H32" i="36"/>
  <c r="N8" i="36"/>
  <c r="C17" i="36"/>
  <c r="K21" i="36"/>
  <c r="F17" i="36"/>
  <c r="A11" i="9"/>
  <c r="M3" i="51"/>
  <c r="B77" i="8"/>
  <c r="AH65" i="26"/>
  <c r="A142" i="58"/>
  <c r="A85" i="58"/>
  <c r="A55" i="58"/>
  <c r="A67" i="58"/>
  <c r="A114" i="58"/>
  <c r="A108" i="58"/>
  <c r="A128" i="58"/>
  <c r="A124" i="58"/>
  <c r="A30" i="58"/>
  <c r="A25" i="58"/>
  <c r="A123" i="58"/>
  <c r="A100" i="58"/>
  <c r="A111" i="58"/>
  <c r="A119" i="58"/>
  <c r="A26" i="58"/>
  <c r="A18" i="58"/>
  <c r="A43" i="58"/>
  <c r="A110" i="58"/>
  <c r="A65" i="58"/>
  <c r="A77" i="58"/>
  <c r="A57" i="58"/>
  <c r="A79" i="58"/>
  <c r="A127" i="58"/>
  <c r="A24" i="58"/>
  <c r="A129" i="58"/>
  <c r="A91" i="58"/>
  <c r="A115" i="58"/>
  <c r="A89" i="58"/>
  <c r="A116" i="58"/>
  <c r="A58" i="58"/>
  <c r="A71" i="58"/>
  <c r="A41" i="58"/>
  <c r="A133" i="58"/>
  <c r="A137" i="58"/>
  <c r="A15" i="9"/>
  <c r="Y3" i="51"/>
  <c r="A13" i="9"/>
  <c r="W65" i="26"/>
  <c r="P65" i="26"/>
  <c r="I20" i="6"/>
  <c r="I21" i="6"/>
  <c r="C79" i="6"/>
  <c r="A63" i="58"/>
  <c r="A122" i="58"/>
  <c r="I13" i="6"/>
  <c r="S3" i="51"/>
  <c r="A121" i="58"/>
  <c r="A113" i="58"/>
  <c r="E19" i="17"/>
  <c r="B59" i="59" s="1"/>
  <c r="G36" i="17"/>
  <c r="B3" i="35"/>
  <c r="R3" i="51"/>
  <c r="Q3" i="57"/>
  <c r="E71" i="6"/>
  <c r="E173" i="6"/>
  <c r="E86" i="6"/>
  <c r="B34" i="26"/>
  <c r="AO65" i="26"/>
  <c r="B18" i="8"/>
  <c r="B27" i="59"/>
  <c r="CA2" i="10"/>
  <c r="B18" i="26"/>
  <c r="A59" i="58"/>
  <c r="A19" i="58"/>
  <c r="A131" i="58"/>
  <c r="A117" i="58"/>
  <c r="A82" i="58"/>
  <c r="A90" i="58"/>
  <c r="A93" i="58"/>
  <c r="A88" i="58"/>
  <c r="A66" i="58"/>
  <c r="A135" i="58"/>
  <c r="A37" i="58"/>
  <c r="A68" i="58"/>
  <c r="A38" i="58"/>
  <c r="A32" i="58"/>
  <c r="A64" i="58"/>
  <c r="A87" i="58"/>
  <c r="A74" i="58"/>
  <c r="A80" i="58"/>
  <c r="A120" i="58"/>
  <c r="A112" i="58"/>
  <c r="A118" i="58"/>
  <c r="A60" i="58"/>
  <c r="A29" i="58"/>
  <c r="A36" i="58"/>
  <c r="A83" i="58"/>
  <c r="A92" i="58"/>
  <c r="A34" i="58"/>
  <c r="A50" i="58"/>
  <c r="A95" i="58"/>
  <c r="A84" i="58"/>
  <c r="A109" i="58"/>
  <c r="A134" i="58"/>
  <c r="A104" i="58"/>
  <c r="A75" i="58"/>
  <c r="A51" i="58"/>
  <c r="A61" i="58"/>
  <c r="A106" i="58"/>
  <c r="A107" i="58"/>
  <c r="A140" i="58"/>
  <c r="A86" i="58"/>
  <c r="A78" i="58"/>
  <c r="A72" i="58"/>
  <c r="A47" i="58"/>
  <c r="A138" i="58"/>
  <c r="A97" i="58"/>
  <c r="A96" i="58"/>
  <c r="A23" i="58"/>
  <c r="A31" i="58"/>
  <c r="A103" i="58"/>
  <c r="A52" i="58"/>
  <c r="A70" i="58"/>
  <c r="A130" i="58"/>
  <c r="A94" i="58"/>
  <c r="A28" i="58"/>
  <c r="A48" i="58"/>
  <c r="A76" i="58"/>
  <c r="D8" i="8"/>
  <c r="A105" i="58"/>
  <c r="D21" i="59"/>
  <c r="A136" i="58"/>
  <c r="A33" i="58"/>
  <c r="A46" i="58"/>
  <c r="A56" i="58"/>
  <c r="A98" i="58"/>
  <c r="A139" i="58"/>
  <c r="A54" i="58"/>
  <c r="A62" i="58"/>
  <c r="A20" i="58"/>
  <c r="A125" i="58"/>
  <c r="A42" i="58"/>
  <c r="A35" i="58"/>
  <c r="A40" i="58"/>
  <c r="A102" i="58"/>
  <c r="A126" i="58"/>
  <c r="A49" i="58"/>
  <c r="A27" i="58"/>
  <c r="A39" i="58"/>
  <c r="A53" i="58"/>
  <c r="A21" i="58"/>
  <c r="A69" i="58"/>
  <c r="A44" i="58"/>
  <c r="A101" i="58"/>
  <c r="A141" i="58"/>
  <c r="A45" i="58"/>
  <c r="A99" i="58"/>
  <c r="A81" i="58"/>
  <c r="A22" i="58"/>
  <c r="C65" i="26"/>
  <c r="E16" i="17"/>
  <c r="B56" i="59" s="1"/>
  <c r="C36" i="17"/>
  <c r="B16" i="58" s="1"/>
  <c r="A73" i="58"/>
  <c r="AB17" i="8"/>
  <c r="E28" i="17"/>
  <c r="B68" i="59" s="1"/>
  <c r="S36" i="17"/>
  <c r="E174" i="6"/>
  <c r="C60" i="6"/>
  <c r="AK2" i="10"/>
  <c r="BE2" i="10"/>
  <c r="AV2" i="10"/>
  <c r="BP2" i="10" s="1"/>
  <c r="AH2" i="10"/>
  <c r="BB2" i="10"/>
  <c r="AG2" i="10"/>
  <c r="BA2" i="10" s="1"/>
  <c r="AR2" i="10"/>
  <c r="BL2" i="10"/>
  <c r="AU2" i="10"/>
  <c r="BO2" i="10" s="1"/>
  <c r="AE2" i="10"/>
  <c r="C62" i="6"/>
  <c r="C83" i="6"/>
  <c r="B41" i="26"/>
  <c r="G12" i="6"/>
  <c r="B42" i="59"/>
  <c r="C12" i="6"/>
  <c r="B35" i="59" s="1"/>
  <c r="C20" i="6"/>
  <c r="B39" i="59"/>
  <c r="T3" i="57"/>
  <c r="E3" i="54"/>
  <c r="BZ2" i="10"/>
  <c r="D63" i="17"/>
  <c r="D48" i="17"/>
  <c r="D73" i="17"/>
  <c r="D45" i="17"/>
  <c r="D53" i="17"/>
  <c r="D40" i="17"/>
  <c r="D46" i="17"/>
  <c r="D67" i="17"/>
  <c r="D70" i="17"/>
  <c r="D65" i="17"/>
  <c r="D49" i="17"/>
  <c r="D62" i="17"/>
  <c r="D66" i="17"/>
  <c r="D43" i="17"/>
  <c r="D42" i="17"/>
  <c r="D68" i="17"/>
  <c r="D79" i="21"/>
  <c r="AM65" i="26"/>
  <c r="E177" i="6"/>
  <c r="E66" i="6"/>
  <c r="B19" i="8"/>
  <c r="B28" i="59" s="1"/>
  <c r="B1" i="57"/>
  <c r="E178" i="6"/>
  <c r="E94" i="6"/>
  <c r="AP65" i="26"/>
  <c r="X3" i="51"/>
  <c r="V3" i="57"/>
  <c r="AE1" i="10"/>
  <c r="E72" i="6"/>
  <c r="E63" i="6"/>
  <c r="K3" i="51"/>
  <c r="B34" i="59"/>
  <c r="G11" i="6"/>
  <c r="B17" i="8"/>
  <c r="B26" i="59"/>
  <c r="C71" i="6"/>
  <c r="E92" i="6"/>
  <c r="E83" i="6"/>
  <c r="A7" i="9"/>
  <c r="A19" i="9"/>
  <c r="B9" i="8"/>
  <c r="A8" i="9"/>
  <c r="A14" i="9"/>
  <c r="K2" i="10"/>
  <c r="T65" i="26"/>
  <c r="D65" i="26"/>
  <c r="E10" i="8"/>
  <c r="B3" i="46"/>
  <c r="B8" i="58"/>
  <c r="B50" i="59"/>
  <c r="A21" i="9"/>
  <c r="S2" i="10"/>
  <c r="B3" i="47"/>
  <c r="B17" i="26"/>
  <c r="AK65" i="26"/>
  <c r="A222" i="28"/>
  <c r="E58" i="6"/>
  <c r="N65" i="26"/>
  <c r="Y65" i="26"/>
  <c r="D2" i="10"/>
  <c r="B25" i="26"/>
  <c r="H1" i="10"/>
  <c r="E189" i="6"/>
  <c r="E89" i="6"/>
  <c r="E185" i="6"/>
  <c r="A24" i="9"/>
  <c r="A9" i="9"/>
  <c r="BV2" i="10"/>
  <c r="B1" i="39"/>
  <c r="A17" i="9"/>
  <c r="A12" i="9"/>
  <c r="S65" i="26"/>
  <c r="A6" i="9"/>
  <c r="B3" i="51"/>
  <c r="AC13" i="53"/>
  <c r="A10" i="9"/>
  <c r="R65" i="26"/>
  <c r="C54" i="21"/>
  <c r="B33" i="26"/>
  <c r="F65" i="26"/>
  <c r="E176" i="6"/>
  <c r="E68" i="6"/>
  <c r="E62" i="6"/>
  <c r="A22" i="9"/>
  <c r="A20" i="9"/>
  <c r="B31" i="26"/>
  <c r="A25" i="9"/>
  <c r="AA3" i="57"/>
  <c r="A16" i="9"/>
  <c r="G3" i="57"/>
  <c r="D2" i="22"/>
  <c r="C3" i="17" s="1"/>
  <c r="B3" i="48"/>
  <c r="AJ65" i="26"/>
  <c r="C19" i="6"/>
  <c r="B38" i="59" s="1"/>
  <c r="G16" i="58"/>
  <c r="B16" i="35"/>
  <c r="H19" i="29"/>
  <c r="G19" i="29"/>
  <c r="B7" i="7"/>
  <c r="B11" i="7" s="1"/>
  <c r="B15" i="7" s="1"/>
  <c r="C2" i="6"/>
  <c r="C2" i="21"/>
  <c r="B2" i="58"/>
  <c r="B2" i="8"/>
  <c r="B2" i="59"/>
  <c r="B2" i="26"/>
  <c r="E14" i="26"/>
  <c r="E20" i="8"/>
  <c r="B32" i="26"/>
  <c r="E2" i="10"/>
  <c r="J36" i="17"/>
  <c r="D50" i="8"/>
  <c r="B45" i="26"/>
  <c r="E93" i="6"/>
  <c r="B12" i="8"/>
  <c r="B24" i="59"/>
  <c r="D56" i="17"/>
  <c r="I3" i="51"/>
  <c r="C76" i="6"/>
  <c r="C55" i="6"/>
  <c r="E190" i="6"/>
  <c r="E17" i="8"/>
  <c r="D76" i="8"/>
  <c r="B10" i="58"/>
  <c r="B4" i="35" s="1"/>
  <c r="A67" i="28"/>
  <c r="D55" i="17"/>
  <c r="D74" i="17"/>
  <c r="D72" i="17"/>
  <c r="D50" i="17"/>
  <c r="D60" i="17"/>
  <c r="D59" i="17"/>
  <c r="D41" i="17"/>
  <c r="D58" i="17"/>
  <c r="D57" i="17"/>
  <c r="D39" i="17"/>
  <c r="D52" i="17"/>
  <c r="D54" i="17"/>
  <c r="D61" i="17"/>
  <c r="E3" i="51"/>
  <c r="B52" i="59"/>
  <c r="O23" i="35" l="1"/>
  <c r="C8" i="43"/>
  <c r="U3" i="10" s="1"/>
  <c r="S3" i="10"/>
  <c r="C7" i="43"/>
  <c r="T3" i="10" s="1"/>
  <c r="Y3" i="10" s="1"/>
  <c r="R3" i="10"/>
  <c r="C7" i="39"/>
  <c r="K3" i="10" s="1"/>
  <c r="P3" i="10" s="1"/>
  <c r="B8" i="7"/>
  <c r="B12" i="7" s="1"/>
  <c r="B16" i="7" s="1"/>
  <c r="B5" i="7"/>
  <c r="B9" i="7" s="1"/>
  <c r="B13" i="7" s="1"/>
  <c r="B14" i="35"/>
  <c r="D19" i="29"/>
  <c r="B6" i="7"/>
  <c r="B10" i="7" s="1"/>
  <c r="B14" i="7"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28" i="17"/>
  <c r="C68" i="59"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F27" i="17"/>
  <c r="C6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C14" i="35"/>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C15" i="35"/>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C13" i="35"/>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E16" i="58"/>
  <c r="H16" i="58"/>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G17" i="58"/>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B13" i="35"/>
  <c r="K23" i="35"/>
  <c r="W21" i="8"/>
  <c r="B9" i="59" s="1"/>
  <c r="F22" i="17"/>
  <c r="C62" i="59" s="1"/>
  <c r="F19" i="29"/>
  <c r="S14" i="26"/>
  <c r="S13" i="26"/>
  <c r="S15" i="26"/>
  <c r="CB2" i="10"/>
  <c r="E85" i="6"/>
  <c r="E64" i="6"/>
  <c r="N23" i="35"/>
  <c r="AR65" i="26"/>
  <c r="E73" i="6"/>
  <c r="D44" i="17"/>
  <c r="D64" i="17"/>
  <c r="D69" i="17"/>
  <c r="A18" i="9"/>
  <c r="H3" i="49"/>
  <c r="AN65" i="26"/>
  <c r="B19" i="26"/>
  <c r="D47" i="17"/>
  <c r="F25" i="17"/>
  <c r="C65" i="59" s="1"/>
  <c r="C17" i="35" l="1"/>
  <c r="H17" i="58"/>
  <c r="CE3" i="10"/>
  <c r="C11" i="35"/>
  <c r="D31" i="35" s="1"/>
  <c r="K31" i="35" s="1"/>
  <c r="C16" i="35"/>
  <c r="F24" i="17"/>
  <c r="C64" i="59" s="1"/>
  <c r="C17" i="58"/>
  <c r="C10" i="35"/>
  <c r="C9" i="35"/>
  <c r="G3" i="10"/>
  <c r="D17" i="58"/>
  <c r="C20" i="35"/>
  <c r="I23" i="35" s="1"/>
  <c r="S23" i="35" s="1"/>
  <c r="T23" i="35" s="1"/>
  <c r="B17" i="58"/>
  <c r="F16" i="17"/>
  <c r="C56" i="59" s="1"/>
  <c r="F26" i="17"/>
  <c r="C66" i="59" s="1"/>
  <c r="A9" i="59"/>
  <c r="F16" i="58"/>
  <c r="B15" i="35"/>
  <c r="C37" i="35" l="1"/>
  <c r="F37" i="35" s="1"/>
  <c r="M37" i="35" s="1"/>
  <c r="C35" i="35"/>
  <c r="F35" i="35" s="1"/>
  <c r="M35" i="35" s="1"/>
  <c r="D24" i="35"/>
  <c r="G24" i="35" s="1"/>
  <c r="N24" i="35" s="1"/>
  <c r="D43" i="35"/>
  <c r="K43" i="35" s="1"/>
  <c r="D42" i="35"/>
  <c r="G42" i="35" s="1"/>
  <c r="N42" i="35" s="1"/>
  <c r="D25" i="35"/>
  <c r="K25" i="35" s="1"/>
  <c r="D27" i="35"/>
  <c r="K27" i="35" s="1"/>
  <c r="D41" i="35"/>
  <c r="G41" i="35" s="1"/>
  <c r="N41" i="35" s="1"/>
  <c r="D39" i="35"/>
  <c r="D30" i="35"/>
  <c r="K30" i="35" s="1"/>
  <c r="D34" i="35"/>
  <c r="G34" i="35" s="1"/>
  <c r="N34" i="35" s="1"/>
  <c r="F3" i="10"/>
  <c r="D37" i="35"/>
  <c r="K37" i="35" s="1"/>
  <c r="D32" i="35"/>
  <c r="G32" i="35" s="1"/>
  <c r="N32" i="35" s="1"/>
  <c r="D36" i="35"/>
  <c r="K36" i="35" s="1"/>
  <c r="D33" i="35"/>
  <c r="D28" i="35"/>
  <c r="G28" i="35" s="1"/>
  <c r="N28" i="35" s="1"/>
  <c r="D29" i="35"/>
  <c r="K29" i="35" s="1"/>
  <c r="D38" i="35"/>
  <c r="G38" i="35" s="1"/>
  <c r="N38" i="35" s="1"/>
  <c r="D35" i="35"/>
  <c r="G35" i="35" s="1"/>
  <c r="N35" i="35" s="1"/>
  <c r="D40" i="35"/>
  <c r="K40" i="35" s="1"/>
  <c r="G31" i="35"/>
  <c r="N31" i="35" s="1"/>
  <c r="D26" i="35"/>
  <c r="K26"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E31" i="35" s="1"/>
  <c r="S31" i="35" s="1"/>
  <c r="T31" i="35" s="1"/>
  <c r="C40" i="35"/>
  <c r="J40" i="35" s="1"/>
  <c r="C28" i="35"/>
  <c r="F28" i="35" s="1"/>
  <c r="M28" i="35" s="1"/>
  <c r="C47" i="35"/>
  <c r="AA3" i="10" s="1"/>
  <c r="C3" i="10"/>
  <c r="C12" i="35"/>
  <c r="AE3" i="10"/>
  <c r="E3" i="10"/>
  <c r="P23" i="35"/>
  <c r="C46" i="35"/>
  <c r="Z3" i="10" s="1"/>
  <c r="J23" i="35"/>
  <c r="J37" i="35" l="1"/>
  <c r="J35" i="35"/>
  <c r="F29" i="35"/>
  <c r="M29" i="35" s="1"/>
  <c r="G30" i="35"/>
  <c r="N30" i="35" s="1"/>
  <c r="G29" i="35"/>
  <c r="N29" i="35" s="1"/>
  <c r="K34" i="35"/>
  <c r="J28" i="35"/>
  <c r="G27" i="35"/>
  <c r="N27" i="35" s="1"/>
  <c r="G43" i="35"/>
  <c r="N43" i="35" s="1"/>
  <c r="H35" i="35"/>
  <c r="O35" i="35" s="1"/>
  <c r="E35" i="35"/>
  <c r="S35" i="35" s="1"/>
  <c r="T35" i="35" s="1"/>
  <c r="E27" i="35"/>
  <c r="S27" i="35" s="1"/>
  <c r="T27" i="35" s="1"/>
  <c r="F42" i="35"/>
  <c r="M42" i="35" s="1"/>
  <c r="K24" i="35"/>
  <c r="E40" i="35"/>
  <c r="S40" i="35" s="1"/>
  <c r="T40" i="35" s="1"/>
  <c r="J41" i="35"/>
  <c r="J33" i="35"/>
  <c r="K42" i="35"/>
  <c r="K35" i="35"/>
  <c r="E43" i="35"/>
  <c r="S43" i="35" s="1"/>
  <c r="T43" i="35" s="1"/>
  <c r="F31" i="35"/>
  <c r="M31" i="35" s="1"/>
  <c r="K41" i="35"/>
  <c r="E33" i="35"/>
  <c r="S33" i="35" s="1"/>
  <c r="T33" i="35" s="1"/>
  <c r="E37" i="35"/>
  <c r="S37" i="35" s="1"/>
  <c r="T37" i="35" s="1"/>
  <c r="G40" i="35"/>
  <c r="N40" i="35" s="1"/>
  <c r="H41" i="35"/>
  <c r="O41" i="35" s="1"/>
  <c r="I24" i="35"/>
  <c r="P24" i="35" s="1"/>
  <c r="H24" i="35"/>
  <c r="O24" i="35" s="1"/>
  <c r="J36" i="35"/>
  <c r="E24" i="35"/>
  <c r="S24" i="35" s="1"/>
  <c r="T24" i="35" s="1"/>
  <c r="F40" i="35"/>
  <c r="M40" i="35" s="1"/>
  <c r="G37" i="35"/>
  <c r="N37" i="35" s="1"/>
  <c r="K28" i="35"/>
  <c r="E41" i="35"/>
  <c r="S41" i="35" s="1"/>
  <c r="T41" i="35" s="1"/>
  <c r="J24" i="35"/>
  <c r="E36" i="35"/>
  <c r="S36" i="35" s="1"/>
  <c r="T36" i="35" s="1"/>
  <c r="F39" i="35"/>
  <c r="M39" i="35" s="1"/>
  <c r="G36" i="35"/>
  <c r="N36" i="35" s="1"/>
  <c r="G26" i="35"/>
  <c r="N26" i="35" s="1"/>
  <c r="K38" i="35"/>
  <c r="F38" i="35"/>
  <c r="M38" i="35" s="1"/>
  <c r="J43" i="35"/>
  <c r="E28" i="35"/>
  <c r="S28" i="35" s="1"/>
  <c r="T28" i="35" s="1"/>
  <c r="E38" i="35"/>
  <c r="S38" i="35" s="1"/>
  <c r="T38" i="35" s="1"/>
  <c r="H28" i="35"/>
  <c r="O28" i="35" s="1"/>
  <c r="F32" i="35"/>
  <c r="H32" i="35" s="1"/>
  <c r="O32" i="35" s="1"/>
  <c r="J27" i="35"/>
  <c r="E32" i="35"/>
  <c r="S32" i="35" s="1"/>
  <c r="T32" i="35" s="1"/>
  <c r="E29" i="35"/>
  <c r="S29" i="35" s="1"/>
  <c r="T29" i="35" s="1"/>
  <c r="G25" i="35"/>
  <c r="N25" i="35" s="1"/>
  <c r="K32" i="35"/>
  <c r="K39" i="35"/>
  <c r="G39" i="35"/>
  <c r="N39" i="35" s="1"/>
  <c r="G33" i="35"/>
  <c r="K33" i="35"/>
  <c r="E26" i="35"/>
  <c r="S26" i="35" s="1"/>
  <c r="T26" i="35" s="1"/>
  <c r="E39" i="35"/>
  <c r="S39" i="35" s="1"/>
  <c r="T39" i="35" s="1"/>
  <c r="J25" i="35"/>
  <c r="E25" i="35"/>
  <c r="S25" i="35" s="1"/>
  <c r="T25" i="35" s="1"/>
  <c r="J26" i="35"/>
  <c r="E42" i="35"/>
  <c r="S42" i="35" s="1"/>
  <c r="T42" i="35" s="1"/>
  <c r="J30" i="35"/>
  <c r="F34" i="35"/>
  <c r="J31" i="35"/>
  <c r="E30" i="35"/>
  <c r="S30" i="35" s="1"/>
  <c r="T30" i="35" s="1"/>
  <c r="E34" i="35"/>
  <c r="S34" i="35" s="1"/>
  <c r="T34" i="35" s="1"/>
  <c r="D3" i="10"/>
  <c r="H30" i="35" l="1"/>
  <c r="O30" i="35" s="1"/>
  <c r="H29" i="35"/>
  <c r="O29" i="35" s="1"/>
  <c r="H36" i="35"/>
  <c r="O36" i="35" s="1"/>
  <c r="H27" i="35"/>
  <c r="O27" i="35" s="1"/>
  <c r="H42" i="35"/>
  <c r="O42" i="35" s="1"/>
  <c r="H43" i="35"/>
  <c r="O43" i="35" s="1"/>
  <c r="M32" i="35"/>
  <c r="I25" i="35"/>
  <c r="AG3" i="10" s="1"/>
  <c r="AF3" i="10"/>
  <c r="H25" i="35"/>
  <c r="O25" i="35" s="1"/>
  <c r="H37" i="35"/>
  <c r="O37" i="35" s="1"/>
  <c r="U23" i="35"/>
  <c r="H31" i="35"/>
  <c r="O31" i="35" s="1"/>
  <c r="H38" i="35"/>
  <c r="O38" i="35" s="1"/>
  <c r="H39" i="35"/>
  <c r="O39" i="35" s="1"/>
  <c r="H40" i="35"/>
  <c r="O40" i="35" s="1"/>
  <c r="H26" i="35"/>
  <c r="O26" i="35" s="1"/>
  <c r="N33" i="35"/>
  <c r="H33" i="35"/>
  <c r="O33" i="35" s="1"/>
  <c r="H34" i="35"/>
  <c r="O34" i="35" s="1"/>
  <c r="M34" i="35"/>
  <c r="I26" i="35" l="1"/>
  <c r="I27" i="35" s="1"/>
  <c r="P27" i="35" s="1"/>
  <c r="P25" i="35"/>
  <c r="U42" i="35"/>
  <c r="U32" i="35"/>
  <c r="U24" i="35"/>
  <c r="U37" i="35"/>
  <c r="U38" i="35"/>
  <c r="U30" i="35"/>
  <c r="U34" i="35"/>
  <c r="U43" i="35"/>
  <c r="U36" i="35"/>
  <c r="U35" i="35"/>
  <c r="U26" i="35"/>
  <c r="U28" i="35"/>
  <c r="U41" i="35"/>
  <c r="U40" i="35"/>
  <c r="U39" i="35"/>
  <c r="U31" i="35"/>
  <c r="U33" i="35"/>
  <c r="U29" i="35"/>
  <c r="U27" i="35"/>
  <c r="U25" i="35"/>
  <c r="AI3" i="10" l="1"/>
  <c r="P26" i="35"/>
  <c r="I28" i="35"/>
  <c r="P28" i="35" s="1"/>
  <c r="AH3" i="10"/>
  <c r="AJ3" i="10" l="1"/>
  <c r="I29" i="35"/>
  <c r="AK3" i="10" s="1"/>
  <c r="P29" i="35" l="1"/>
  <c r="I30" i="35"/>
  <c r="P30" i="35" s="1"/>
  <c r="AL3" i="10" l="1"/>
  <c r="I31" i="35"/>
  <c r="P31" i="35" s="1"/>
  <c r="AM3" i="10" l="1"/>
  <c r="I32" i="35"/>
  <c r="AN3" i="10" s="1"/>
  <c r="I33" i="35" l="1"/>
  <c r="I34" i="35" s="1"/>
  <c r="P32" i="35"/>
  <c r="AO3" i="10" l="1"/>
  <c r="P33" i="35"/>
  <c r="I35" i="35"/>
  <c r="AP3" i="10"/>
  <c r="P34" i="35"/>
  <c r="P35" i="35" l="1"/>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<sst xmlns="http://schemas.openxmlformats.org/spreadsheetml/2006/main" count="4937" uniqueCount="3381">
  <si>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</si>
  <si>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</si>
  <si>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</si>
  <si>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</si>
  <si>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</si>
  <si>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</si>
  <si>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</si>
  <si>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</si>
  <si>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</si>
  <si>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</si>
  <si>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</si>
  <si>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</si>
  <si>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</si>
  <si>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</si>
  <si>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</si>
  <si>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</si>
  <si>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</si>
  <si>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</si>
  <si>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</si>
  <si>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</si>
  <si>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</si>
  <si>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</si>
  <si>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</si>
  <si>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</si>
  <si>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</si>
  <si>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</si>
  <si>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</si>
  <si>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</si>
  <si>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</si>
  <si>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</si>
  <si>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</si>
  <si>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</si>
  <si>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</si>
  <si>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</si>
  <si>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</si>
  <si>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</si>
  <si>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</si>
  <si>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Baseline Fixture</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</si>
  <si>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</si>
  <si>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</si>
  <si>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</si>
  <si>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</si>
  <si>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</si>
  <si>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</si>
  <si>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</si>
  <si>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</si>
  <si>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</si>
  <si>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</si>
  <si>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</si>
  <si>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</si>
  <si>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</si>
  <si>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</si>
  <si>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</si>
  <si>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</si>
  <si>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</si>
  <si>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</si>
  <si>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</si>
  <si>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</si>
  <si>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</si>
  <si>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</si>
  <si>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</si>
  <si>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</si>
  <si>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</si>
  <si>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</si>
  <si>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</si>
  <si>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</si>
  <si>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</si>
  <si>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</si>
  <si>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</si>
  <si>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</si>
  <si>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</si>
  <si>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</si>
  <si>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</si>
  <si>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</si>
  <si>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</si>
  <si>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</si>
  <si>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</si>
  <si>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</si>
  <si>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</si>
  <si>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</si>
  <si>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</si>
  <si>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</si>
  <si>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</si>
  <si>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</si>
  <si>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</si>
  <si>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</si>
  <si>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</si>
  <si>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</si>
  <si>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</si>
  <si>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</si>
  <si>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</si>
  <si>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</si>
  <si>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</si>
  <si>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</si>
  <si>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</si>
  <si>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</si>
  <si>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</si>
  <si>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</si>
  <si>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</si>
  <si>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</si>
  <si>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</si>
  <si>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</si>
  <si>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</si>
  <si>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</si>
  <si>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</si>
  <si>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</si>
  <si>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</si>
  <si>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</si>
  <si>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</si>
  <si>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</si>
  <si>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</si>
  <si>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</si>
  <si>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</si>
  <si>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</si>
  <si>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</si>
  <si>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</si>
  <si>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</si>
  <si>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</si>
  <si>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</si>
  <si>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</si>
  <si>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</si>
  <si>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</si>
  <si>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</si>
  <si>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</si>
  <si>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</si>
  <si>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</si>
  <si>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</si>
  <si>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</si>
  <si>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</si>
  <si>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</si>
  <si>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</si>
  <si>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</si>
  <si>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</si>
  <si>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</si>
  <si>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</si>
  <si>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</si>
  <si>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</si>
  <si>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</si>
  <si>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</si>
  <si>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</si>
  <si>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</si>
  <si>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</si>
  <si>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</si>
  <si>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</si>
  <si>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</si>
  <si>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</si>
  <si>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</si>
  <si>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</si>
  <si>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</si>
  <si>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</si>
  <si>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</si>
  <si>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</si>
  <si>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</si>
  <si>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</si>
  <si>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</si>
  <si>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</si>
  <si>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</si>
  <si>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</si>
  <si>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</si>
  <si>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</si>
  <si>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</si>
  <si>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</si>
  <si>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</si>
  <si>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</si>
  <si>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</si>
  <si>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</si>
  <si>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</si>
  <si>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</si>
  <si>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</si>
  <si>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</si>
  <si>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</si>
  <si>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</si>
  <si>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</si>
  <si>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</si>
  <si>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</si>
  <si>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</si>
  <si>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</si>
  <si>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</si>
  <si>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</si>
  <si>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</si>
  <si>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</si>
  <si>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</si>
  <si>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</si>
  <si>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</si>
  <si>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</si>
  <si>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</si>
  <si>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</si>
  <si>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</si>
  <si>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</si>
  <si>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</si>
  <si>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</si>
  <si>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</si>
  <si>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</si>
  <si>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</si>
  <si>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</si>
  <si>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</si>
  <si>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</si>
  <si>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</si>
  <si>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</si>
  <si>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</si>
  <si>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</si>
  <si>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</si>
  <si>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</si>
  <si>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</si>
  <si>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</si>
  <si>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</si>
  <si>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</si>
  <si>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</si>
  <si>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</si>
  <si>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</si>
  <si>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</si>
  <si>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</si>
  <si>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</si>
  <si>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</si>
  <si>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</si>
  <si>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</si>
  <si>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</si>
  <si>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</si>
  <si>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</si>
  <si>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</si>
  <si>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</si>
  <si>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</si>
  <si>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</si>
  <si>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</si>
  <si>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</si>
  <si>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</si>
  <si>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</si>
  <si>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</si>
  <si>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</si>
  <si>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</si>
  <si>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</si>
  <si>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</si>
  <si>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</si>
  <si>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</si>
  <si>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</si>
  <si>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</si>
  <si>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</si>
  <si>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</si>
  <si>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</si>
  <si>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</si>
  <si>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</si>
  <si>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</si>
  <si>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</si>
  <si>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</si>
  <si>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</si>
  <si>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</si>
  <si>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</si>
  <si>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</si>
  <si>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</si>
  <si>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</si>
  <si>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</si>
  <si>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</si>
  <si>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</si>
  <si>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</si>
  <si>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</si>
  <si>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</si>
  <si>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</si>
  <si>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</si>
  <si>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</si>
  <si>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</si>
  <si>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</si>
  <si>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</si>
  <si>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</si>
  <si>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</si>
  <si>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</si>
  <si>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</si>
  <si>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</si>
  <si>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</si>
  <si>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</si>
  <si>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</si>
  <si>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</si>
  <si>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</si>
  <si>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</si>
  <si>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</si>
  <si>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</si>
  <si>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</si>
  <si>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</si>
  <si>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</si>
  <si>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</si>
  <si>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</si>
  <si>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</si>
  <si>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</si>
  <si>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</si>
  <si>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</si>
  <si>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</si>
  <si>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</si>
  <si>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</si>
  <si>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</si>
  <si>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</si>
  <si>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</si>
  <si>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</si>
  <si>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</si>
  <si>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</si>
  <si>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</si>
  <si>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</si>
  <si>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</si>
  <si>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</si>
  <si>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</si>
  <si>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</si>
  <si>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</si>
  <si>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</si>
  <si>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</si>
  <si>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</si>
  <si>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</si>
  <si>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</si>
  <si>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</si>
  <si>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</si>
  <si>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</si>
  <si>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</si>
  <si>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</si>
  <si>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</si>
  <si>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</si>
  <si>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</si>
  <si>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</si>
  <si>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</si>
  <si>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</si>
  <si>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</si>
  <si>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</si>
  <si>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</si>
  <si>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</si>
  <si>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</si>
  <si>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</si>
  <si>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</si>
  <si>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</si>
  <si>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</si>
  <si>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</si>
  <si>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</si>
  <si>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</si>
  <si>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</si>
  <si>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</si>
  <si>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</si>
  <si>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</si>
  <si>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</si>
  <si>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</si>
  <si>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</si>
  <si>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</si>
  <si>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</si>
  <si>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</si>
  <si>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</si>
  <si>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</si>
  <si>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</si>
  <si>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</si>
  <si>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</si>
  <si>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</si>
  <si>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</si>
  <si>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</si>
  <si>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</si>
  <si>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</si>
  <si>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</si>
  <si>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</si>
  <si>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</si>
  <si>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</si>
  <si>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</si>
  <si>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</si>
  <si>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</si>
  <si>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</si>
  <si>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</si>
  <si>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</si>
  <si>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</si>
  <si>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</si>
  <si>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</si>
  <si>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</si>
  <si>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</si>
  <si>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</si>
  <si>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</si>
  <si>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</si>
  <si>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</si>
  <si>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</si>
  <si>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</si>
  <si>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</si>
  <si>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</si>
  <si>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</si>
  <si>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</si>
  <si>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</si>
  <si>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</si>
  <si>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</si>
  <si>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</si>
  <si>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</si>
  <si>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</si>
  <si>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</si>
  <si>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</si>
  <si>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</si>
  <si>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</si>
  <si>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</si>
  <si>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</si>
  <si>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</si>
  <si>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</si>
  <si>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</si>
  <si>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</si>
  <si>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</si>
  <si>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</si>
  <si>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</si>
  <si>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</si>
  <si>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</si>
  <si>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</si>
  <si>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</si>
  <si>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</si>
  <si>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</si>
  <si>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</si>
  <si>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</si>
  <si>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</si>
  <si>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</si>
  <si>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</si>
  <si>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</si>
  <si>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</si>
  <si>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</si>
  <si>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</si>
  <si>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</si>
  <si>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</si>
  <si>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</si>
  <si>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</si>
  <si>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</si>
  <si>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</si>
  <si>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</si>
  <si>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</si>
  <si>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</si>
  <si>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</si>
  <si>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</si>
  <si>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</si>
  <si>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</si>
  <si>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</si>
  <si>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</si>
  <si>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</si>
  <si>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</si>
  <si>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</si>
  <si>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</si>
  <si>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</si>
  <si>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</si>
  <si>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</si>
  <si>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</si>
  <si>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</si>
  <si>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</si>
  <si>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</si>
  <si>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</si>
  <si>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</si>
  <si>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</si>
  <si>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</si>
  <si>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</si>
  <si>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</si>
  <si>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</si>
  <si>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</si>
  <si>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</si>
  <si>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</si>
  <si>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</si>
  <si>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</si>
  <si>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</si>
  <si>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</si>
  <si>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</si>
  <si>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</si>
  <si>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</si>
  <si>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</si>
  <si>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</si>
  <si>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</si>
  <si>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</si>
  <si>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</si>
  <si>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</si>
  <si>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</si>
  <si>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</si>
  <si>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</si>
  <si>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</si>
  <si>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</si>
  <si>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</si>
  <si>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</si>
  <si>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</si>
  <si>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</si>
  <si>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</si>
  <si>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</si>
  <si>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</si>
  <si>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</si>
  <si>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</si>
  <si>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</si>
  <si>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</si>
  <si>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</si>
  <si>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</si>
  <si>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</si>
  <si>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</si>
  <si>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</si>
  <si>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</si>
  <si>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</si>
  <si>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</si>
  <si>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</si>
  <si>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</si>
  <si>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</si>
  <si>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</si>
  <si>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</si>
  <si>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</si>
  <si>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</si>
  <si>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</si>
  <si>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</si>
  <si>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</si>
  <si>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</si>
  <si>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</si>
  <si>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</si>
  <si>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</si>
  <si>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</si>
  <si>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</si>
  <si>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</si>
  <si>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</si>
  <si>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</si>
  <si>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</si>
  <si>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</si>
  <si>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</si>
  <si>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</si>
  <si>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</si>
  <si>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</si>
  <si>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</si>
  <si>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</si>
  <si>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</si>
  <si>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</si>
  <si>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</si>
  <si>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</si>
  <si>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</si>
  <si>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</si>
  <si>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</si>
  <si>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</si>
  <si>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</si>
  <si>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</si>
  <si>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</si>
  <si>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</si>
  <si>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</si>
  <si>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</si>
  <si>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</si>
  <si>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</si>
  <si>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</si>
  <si>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</si>
  <si>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</si>
  <si>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</si>
  <si>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</si>
  <si>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</si>
  <si>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</si>
  <si>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</si>
  <si>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</si>
  <si>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</si>
  <si>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</si>
  <si>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</si>
  <si>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</si>
  <si>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</si>
  <si>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</si>
  <si>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</si>
  <si>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</si>
  <si>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</si>
  <si>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</si>
  <si>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</si>
  <si>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</si>
  <si>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</si>
  <si>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</si>
  <si>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</si>
  <si>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</si>
  <si>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</si>
  <si>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</si>
  <si>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</si>
  <si>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</si>
  <si>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</si>
  <si>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</si>
  <si>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</si>
  <si>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</si>
  <si>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</si>
  <si>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</si>
  <si>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</si>
  <si>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</si>
  <si>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</si>
  <si>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</si>
  <si>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</si>
  <si>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</si>
  <si>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</si>
  <si>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</si>
  <si>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</si>
  <si>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</si>
  <si>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</si>
  <si>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</si>
  <si>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</si>
  <si>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</si>
  <si>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</si>
  <si>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</si>
  <si>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</si>
  <si>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</si>
  <si>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</si>
  <si>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</si>
  <si>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</si>
  <si>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</si>
  <si>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</si>
  <si>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</si>
  <si>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</si>
  <si>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</si>
  <si>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</si>
  <si>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</si>
  <si>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</si>
  <si>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</si>
  <si>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</si>
  <si>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</si>
  <si>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</si>
  <si>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</si>
  <si>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</si>
  <si>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</si>
  <si>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</si>
  <si>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</si>
  <si>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</si>
  <si>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</si>
  <si>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</si>
  <si>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</si>
  <si>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</si>
  <si>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</si>
  <si>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</si>
  <si>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</si>
  <si>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</si>
  <si>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</si>
  <si>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</si>
  <si>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</si>
  <si>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</si>
  <si>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</si>
  <si>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</si>
  <si>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</si>
  <si>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</si>
  <si>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</si>
  <si>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</si>
  <si>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</si>
  <si>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</si>
  <si>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</si>
  <si>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</si>
  <si>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</si>
  <si>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</si>
  <si>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</si>
  <si>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</si>
  <si>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</si>
  <si>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</si>
  <si>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</si>
  <si>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</si>
  <si>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</si>
  <si>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</si>
  <si>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</si>
  <si>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</si>
  <si>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</si>
  <si>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</si>
  <si>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</si>
  <si>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</si>
  <si>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</si>
  <si>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</si>
  <si>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</si>
  <si>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</si>
  <si>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</si>
  <si>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</si>
  <si>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</si>
  <si>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</si>
  <si>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</si>
  <si>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</si>
  <si>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</si>
  <si>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</si>
  <si>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</si>
  <si>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</si>
  <si>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</si>
  <si>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</si>
  <si>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</si>
  <si>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</si>
  <si>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</si>
  <si>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</si>
  <si>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</si>
  <si>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</si>
  <si>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</si>
  <si>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</si>
  <si>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</si>
  <si>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</si>
  <si>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</si>
  <si>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</si>
  <si>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</si>
  <si>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</si>
  <si>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</si>
  <si>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</si>
  <si>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</si>
  <si>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</si>
  <si>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</si>
  <si>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</si>
  <si>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</si>
  <si>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</si>
  <si>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</si>
  <si>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</si>
  <si>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</si>
  <si>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</si>
  <si>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</si>
  <si>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</si>
  <si>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</si>
  <si>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</si>
  <si>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</si>
  <si>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</si>
  <si>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</si>
  <si>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</si>
  <si>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</si>
  <si>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</si>
  <si>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</si>
  <si>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</si>
  <si>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</si>
  <si>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</si>
  <si>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</si>
  <si>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</si>
  <si>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</si>
  <si>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</si>
  <si>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</si>
  <si>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</si>
  <si>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</si>
  <si>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</si>
  <si>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</si>
  <si>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</si>
  <si>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</si>
  <si>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</si>
  <si>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</si>
  <si>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</si>
  <si>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</si>
  <si>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</si>
  <si>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</si>
  <si>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</si>
  <si>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</si>
  <si>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</si>
  <si>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</si>
  <si>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</si>
  <si>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</si>
  <si>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</si>
  <si>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</si>
  <si>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</si>
  <si>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</si>
  <si>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</si>
  <si>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</si>
  <si>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</si>
  <si>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</si>
  <si>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</si>
  <si>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</si>
  <si>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</si>
  <si>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</si>
  <si>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</si>
  <si>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</si>
  <si>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</si>
  <si>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</si>
  <si>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</si>
  <si>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</si>
  <si>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</si>
  <si>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</si>
  <si>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</si>
  <si>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</si>
  <si>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</si>
  <si>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</si>
  <si>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</si>
  <si>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</si>
  <si>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</si>
  <si>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</si>
  <si>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</si>
  <si>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</si>
  <si>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</si>
  <si>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</si>
  <si>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</si>
  <si>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</si>
  <si>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</si>
  <si>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</si>
  <si>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</si>
  <si>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</si>
  <si>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</si>
  <si>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</si>
  <si>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</si>
  <si>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</si>
  <si>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</si>
  <si>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</si>
  <si>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</si>
  <si>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</si>
  <si>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</si>
  <si>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</si>
  <si>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</si>
  <si>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</si>
  <si>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</si>
  <si>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</si>
  <si>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</si>
  <si>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</si>
  <si>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</si>
  <si>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</si>
  <si>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</si>
  <si>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</si>
  <si>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</si>
  <si>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</si>
  <si>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</si>
  <si>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</si>
  <si>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</si>
  <si>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</si>
  <si>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</si>
  <si>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</si>
  <si>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</si>
  <si>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</si>
  <si>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</si>
  <si>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</si>
  <si>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</si>
  <si>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</si>
  <si>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</si>
  <si>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</si>
  <si>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</si>
  <si>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</si>
  <si>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</si>
  <si>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</si>
  <si>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</si>
  <si>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</si>
  <si>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</si>
  <si>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</si>
  <si>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</si>
  <si>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</si>
  <si>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</si>
  <si>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</si>
  <si>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</si>
  <si>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</si>
  <si>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</si>
  <si>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</si>
  <si>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</si>
  <si>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</si>
  <si>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</si>
  <si>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</si>
  <si>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</si>
  <si>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</si>
  <si>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</si>
  <si>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</si>
  <si>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</si>
  <si>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</si>
  <si>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</si>
  <si>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</si>
  <si>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</si>
  <si>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</si>
  <si>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</si>
  <si>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</si>
  <si>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</si>
  <si>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</si>
  <si>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</si>
  <si>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</si>
  <si>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</si>
  <si>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</si>
  <si>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</si>
  <si>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</si>
  <si>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</si>
  <si>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</si>
  <si>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</si>
  <si>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</si>
  <si>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</si>
  <si>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</si>
  <si>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</si>
  <si>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</si>
  <si>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</si>
  <si>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</si>
  <si>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</si>
  <si>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</si>
  <si>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</si>
  <si>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</si>
  <si>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</si>
  <si>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</si>
  <si>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</si>
  <si>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</si>
  <si>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</si>
  <si>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</si>
  <si>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</si>
  <si>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</si>
  <si>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</si>
  <si>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</si>
  <si>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</si>
  <si>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</si>
  <si>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</si>
  <si>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</si>
  <si>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</si>
  <si>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</si>
  <si>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</si>
  <si>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</si>
  <si>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</si>
  <si>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</si>
  <si>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</si>
  <si>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</si>
  <si>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</si>
  <si>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</si>
  <si>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</si>
  <si>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</si>
  <si>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</si>
  <si>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</si>
  <si>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</si>
  <si>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</si>
  <si>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</si>
  <si>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</si>
  <si>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</si>
  <si>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</si>
  <si>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</si>
  <si>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</si>
  <si>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</si>
  <si>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</si>
  <si>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</si>
  <si>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</si>
  <si>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</si>
  <si>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</si>
  <si>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</si>
  <si>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</si>
  <si>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</si>
  <si>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</si>
  <si>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</si>
  <si>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</si>
  <si>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</si>
  <si>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</si>
  <si>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</si>
  <si>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</si>
  <si>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</si>
  <si>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</si>
  <si>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</si>
  <si>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</si>
  <si>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</si>
  <si>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</si>
  <si>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</si>
  <si>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</si>
  <si>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</si>
  <si>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</si>
  <si>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</si>
  <si>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</si>
  <si>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</si>
  <si>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</si>
  <si>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</si>
  <si>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</si>
  <si>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</si>
  <si>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</si>
  <si>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</si>
  <si>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</si>
  <si>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</si>
  <si>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</si>
  <si>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</si>
  <si>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</si>
  <si>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</si>
  <si>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</si>
  <si>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</si>
  <si>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</si>
  <si>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</si>
  <si>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</si>
  <si>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</si>
  <si>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</si>
  <si>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</si>
  <si>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</si>
  <si>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</si>
  <si>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</si>
  <si>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</si>
  <si>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</si>
  <si>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</si>
  <si>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</si>
  <si>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</si>
  <si>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</si>
  <si>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</si>
  <si>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</si>
  <si>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</si>
  <si>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</si>
  <si>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</si>
  <si>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</si>
  <si>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</si>
  <si>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</si>
  <si>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</si>
  <si>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</si>
  <si>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</si>
  <si>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</si>
  <si>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</si>
  <si>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</si>
  <si>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</si>
  <si>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</si>
  <si>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</si>
  <si>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</si>
  <si>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</si>
  <si>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</si>
  <si>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</si>
  <si>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</si>
  <si>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</si>
  <si>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</si>
  <si>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</si>
  <si>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</si>
  <si>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</si>
  <si>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</si>
  <si>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</si>
  <si>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</si>
  <si>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</si>
  <si>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</si>
  <si>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</si>
  <si>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</si>
  <si>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</si>
  <si>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</si>
  <si>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</si>
  <si>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</si>
  <si>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</si>
  <si>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</si>
  <si>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</si>
  <si>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</si>
  <si>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</si>
  <si>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</si>
  <si>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</si>
  <si>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</si>
  <si>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</si>
  <si>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</si>
  <si>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</si>
  <si>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</si>
  <si>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</si>
  <si>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</si>
  <si>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</si>
  <si>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</si>
  <si>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</si>
  <si>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</si>
  <si>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</si>
  <si>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</si>
  <si>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</si>
  <si>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</si>
  <si>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</si>
  <si>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</si>
  <si>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</si>
  <si>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</si>
  <si>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</si>
  <si>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</si>
  <si>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</si>
  <si>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</si>
  <si>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</si>
  <si>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</si>
  <si>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</si>
  <si>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</si>
  <si>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</si>
  <si>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</si>
  <si>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</si>
  <si>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</si>
  <si>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</si>
  <si>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</si>
  <si>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</si>
  <si>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</si>
  <si>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</si>
  <si>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</si>
  <si>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</si>
  <si>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</si>
  <si>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</si>
  <si>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</si>
  <si>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</si>
  <si>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</si>
  <si>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</si>
  <si>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</si>
  <si>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</si>
  <si>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</si>
  <si>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</si>
  <si>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</si>
  <si>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</si>
  <si>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</si>
  <si>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</si>
  <si>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</si>
  <si>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</si>
  <si>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</si>
  <si>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</si>
  <si>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</si>
  <si>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</si>
  <si>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</si>
  <si>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</si>
  <si>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</si>
  <si>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</si>
  <si>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</si>
  <si>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</si>
  <si>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</si>
  <si>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</si>
  <si>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</si>
  <si>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</si>
  <si>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</si>
  <si>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</si>
  <si>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</si>
  <si>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</si>
  <si>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</si>
  <si>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</si>
  <si>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</si>
  <si>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</si>
  <si>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</si>
  <si>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</si>
  <si>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</si>
  <si>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</si>
  <si>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</si>
  <si>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</si>
  <si>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</si>
  <si>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</si>
  <si>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</si>
  <si>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</si>
  <si>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</si>
  <si>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</si>
  <si>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</si>
  <si>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</si>
  <si>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</si>
  <si>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</si>
  <si>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</si>
  <si>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</si>
  <si>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</si>
  <si>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</si>
  <si>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</si>
  <si>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</si>
  <si>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</si>
  <si>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</si>
  <si>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</si>
  <si>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</si>
  <si>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</si>
  <si>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</si>
  <si>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</si>
  <si>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</si>
  <si>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</si>
  <si>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</si>
  <si>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</si>
  <si>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</si>
  <si>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</si>
  <si>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</si>
  <si>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</si>
  <si>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</si>
  <si>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</si>
  <si>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</si>
  <si>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</si>
  <si>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</si>
  <si>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</si>
  <si>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</si>
  <si>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</si>
  <si>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</si>
  <si>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</si>
  <si>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</si>
  <si>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</si>
  <si>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</si>
  <si>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</si>
  <si>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</si>
  <si>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</si>
  <si>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</si>
  <si>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</si>
  <si>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</si>
  <si>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</si>
  <si>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</si>
  <si>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</si>
  <si>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</si>
  <si>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</si>
  <si>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</si>
  <si>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</si>
  <si>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</si>
  <si>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</si>
  <si>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</si>
  <si>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</si>
  <si>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</si>
  <si>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</si>
  <si>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</si>
  <si>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</si>
  <si>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</si>
  <si>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</si>
  <si>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</si>
  <si>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</si>
  <si>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</si>
  <si>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</si>
  <si>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</si>
  <si>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</si>
  <si>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</si>
  <si>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</si>
  <si>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</si>
  <si>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</si>
  <si>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</si>
  <si>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</si>
  <si>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</si>
  <si>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</si>
  <si>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</si>
  <si>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</si>
  <si>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</si>
  <si>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</si>
  <si>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</si>
  <si>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</si>
  <si>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</si>
  <si>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</si>
  <si>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</si>
  <si>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</si>
  <si>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</si>
  <si>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</si>
  <si>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</si>
  <si>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</si>
  <si>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</si>
  <si>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</si>
  <si>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</si>
  <si>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</si>
  <si>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</si>
  <si>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</si>
  <si>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</si>
  <si>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</si>
  <si>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</si>
  <si>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</si>
  <si>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</si>
  <si>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</si>
  <si>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</si>
  <si>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</si>
  <si>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</si>
  <si>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</si>
  <si>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</si>
  <si>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</si>
  <si>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</si>
  <si>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</si>
  <si>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</si>
  <si>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</si>
  <si>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</si>
  <si>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</si>
  <si>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</si>
  <si>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</si>
  <si>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</si>
  <si>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</si>
  <si>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</si>
  <si>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</si>
  <si>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</si>
  <si>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</si>
  <si>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</si>
  <si>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</si>
  <si>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</si>
  <si>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</si>
  <si>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</si>
  <si>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</si>
  <si>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</si>
  <si>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</si>
  <si>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</si>
  <si>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</si>
  <si>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</si>
  <si>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</si>
  <si>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</si>
  <si>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</si>
  <si>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</si>
  <si>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</si>
  <si>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</si>
  <si>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</si>
  <si>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</si>
  <si>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</si>
  <si>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</si>
  <si>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</si>
  <si>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</si>
  <si>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</si>
  <si>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</si>
  <si>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</si>
  <si>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</si>
  <si>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</si>
  <si>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</si>
  <si>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</si>
  <si>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</si>
  <si>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</si>
  <si>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</si>
  <si>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</si>
  <si>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</si>
  <si>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</si>
  <si>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</si>
  <si>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</si>
  <si>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</si>
  <si>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</si>
  <si>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</si>
  <si>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</si>
  <si>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</si>
  <si>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</si>
  <si>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</si>
  <si>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</si>
  <si>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</si>
  <si>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</si>
  <si>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</si>
  <si>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</si>
  <si>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</si>
  <si>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</si>
  <si>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</si>
  <si>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</si>
  <si>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</si>
  <si>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</si>
  <si>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</si>
  <si>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</si>
  <si>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</si>
  <si>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</si>
  <si>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</si>
  <si>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</si>
  <si>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</si>
  <si>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</si>
  <si>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</si>
  <si>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</si>
  <si>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</si>
  <si>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</si>
  <si>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</si>
  <si>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</si>
  <si>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</si>
  <si>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</si>
  <si>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</si>
  <si>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</si>
  <si>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</si>
  <si>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</si>
  <si>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</si>
  <si>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</si>
  <si>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</si>
  <si>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</si>
  <si>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</si>
  <si>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</si>
  <si>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</si>
  <si>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</si>
  <si>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</si>
  <si>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</si>
  <si>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</si>
  <si>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</si>
  <si>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</si>
  <si>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</si>
  <si>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</si>
  <si>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</si>
  <si>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</si>
  <si>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</si>
  <si>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</si>
  <si>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</si>
  <si>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</si>
  <si>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</si>
  <si>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</si>
  <si>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</si>
  <si>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</si>
  <si>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</si>
  <si>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</si>
  <si>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</si>
  <si>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</si>
  <si>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</si>
  <si>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</si>
  <si>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</si>
  <si>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</si>
  <si>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</si>
  <si>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</si>
  <si>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</si>
  <si>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</si>
  <si>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</si>
  <si>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</si>
  <si>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</si>
  <si>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</si>
  <si>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</si>
  <si>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</si>
  <si>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</si>
  <si>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</si>
  <si>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</si>
  <si>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</si>
  <si>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</si>
  <si>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</si>
  <si>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</si>
  <si>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</si>
  <si>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</si>
  <si>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</si>
  <si>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</si>
  <si>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</si>
  <si>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</si>
  <si>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</si>
  <si>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</si>
  <si>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</si>
  <si>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</si>
  <si>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</si>
  <si>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</si>
  <si>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</si>
  <si>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</si>
  <si>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</si>
  <si>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</si>
  <si>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</si>
  <si>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</si>
  <si>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</si>
  <si>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</si>
  <si>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</si>
  <si>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</si>
  <si>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</si>
  <si>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</si>
  <si>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</si>
  <si>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</si>
  <si>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</si>
  <si>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</si>
  <si>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</si>
  <si>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</si>
  <si>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</si>
  <si>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</si>
  <si>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</si>
  <si>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</si>
  <si>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</si>
  <si>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</si>
  <si>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</si>
  <si>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</si>
  <si>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</si>
  <si>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</si>
  <si>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</si>
  <si>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</si>
  <si>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</si>
  <si>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</si>
  <si>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</si>
  <si>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</si>
  <si>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</si>
  <si>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</si>
  <si>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</si>
  <si>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</si>
  <si>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</si>
  <si>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</si>
  <si>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</si>
  <si>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</si>
  <si>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</si>
  <si>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</si>
  <si>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</si>
  <si>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</si>
  <si>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</si>
  <si>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</si>
  <si>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</si>
  <si>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</si>
  <si>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</si>
  <si>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</si>
  <si>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</si>
  <si>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</si>
  <si>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</si>
  <si>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</si>
  <si>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</si>
  <si>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</si>
  <si>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</si>
  <si>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</si>
  <si>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</si>
  <si>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</si>
  <si>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</si>
  <si>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</si>
  <si>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</si>
  <si>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</si>
  <si>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</si>
  <si>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</si>
  <si>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</si>
  <si>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</si>
  <si>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</si>
  <si>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</si>
  <si>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</si>
  <si>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</si>
  <si>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</si>
  <si>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</si>
  <si>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</si>
  <si>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</si>
  <si>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</si>
  <si>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</si>
  <si>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</si>
  <si>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</si>
  <si>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</si>
  <si>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</si>
  <si>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</si>
  <si>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</si>
  <si>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</si>
  <si>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</si>
  <si>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</si>
  <si>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</si>
  <si>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</si>
  <si>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</si>
  <si>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</si>
  <si>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</si>
  <si>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</si>
  <si>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</si>
  <si>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</si>
  <si>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</si>
  <si>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</si>
  <si>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</si>
  <si>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</si>
  <si>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</si>
  <si>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</si>
  <si>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</si>
  <si>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</si>
  <si>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</si>
  <si>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</si>
  <si>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</si>
  <si>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</si>
  <si>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</si>
  <si>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</si>
  <si>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</si>
  <si>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</si>
  <si>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</si>
  <si>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</si>
  <si>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</si>
  <si>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</si>
  <si>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</si>
  <si>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</si>
  <si>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</si>
  <si>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</si>
  <si>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</si>
  <si>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</si>
  <si>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</si>
  <si>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</si>
  <si>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</si>
  <si>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</si>
  <si>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</si>
  <si>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</si>
  <si>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</si>
  <si>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</si>
  <si>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</si>
  <si>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</si>
  <si>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</si>
  <si>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</si>
  <si>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</si>
  <si>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</si>
  <si>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</si>
  <si>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</si>
  <si>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</si>
  <si>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</si>
  <si>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</si>
  <si>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</si>
  <si>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</si>
  <si>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</si>
  <si>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</si>
  <si>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</si>
  <si>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</si>
  <si>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</si>
  <si>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</si>
  <si>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</si>
  <si>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</si>
  <si>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</si>
  <si>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</si>
  <si>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</si>
  <si>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</si>
  <si>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</si>
  <si>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</si>
  <si>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</si>
  <si>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</si>
  <si>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</si>
  <si>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</si>
  <si>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</si>
  <si>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</si>
  <si>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</si>
  <si>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</si>
  <si>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</si>
  <si>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</si>
  <si>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</si>
  <si>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</si>
  <si>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</si>
  <si>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</si>
  <si>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</si>
  <si>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</si>
  <si>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</si>
  <si>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</si>
  <si>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</si>
  <si>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</si>
  <si>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</si>
  <si>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</si>
  <si>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</si>
  <si>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</si>
  <si>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</si>
  <si>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</si>
  <si>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</si>
  <si>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</si>
  <si>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</si>
  <si>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</si>
  <si>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</si>
  <si>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</si>
  <si>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</si>
  <si>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</si>
  <si>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</si>
  <si>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</si>
  <si>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</si>
  <si>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</si>
  <si>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</si>
  <si>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</si>
  <si>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</si>
  <si>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</si>
  <si>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</si>
  <si>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</si>
  <si>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</si>
  <si>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</si>
  <si>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</si>
  <si>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</si>
  <si>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</si>
  <si>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</si>
  <si>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</si>
  <si>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</si>
  <si>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</si>
  <si>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</si>
  <si>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</si>
  <si>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</si>
  <si>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</si>
  <si>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</si>
  <si>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</si>
  <si>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</si>
  <si>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</si>
  <si>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</si>
  <si>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</si>
  <si>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</si>
  <si>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</si>
  <si>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</si>
  <si>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</si>
  <si>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</si>
  <si>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</si>
  <si>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</si>
  <si>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</si>
  <si>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</si>
  <si>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</si>
  <si>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</si>
  <si>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</si>
  <si>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</si>
  <si>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</si>
  <si>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</si>
  <si>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</si>
  <si>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</si>
  <si>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</si>
  <si>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</si>
  <si>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</si>
  <si>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</si>
  <si>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</si>
  <si>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</si>
  <si>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</si>
  <si>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</si>
  <si>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</si>
  <si>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</si>
  <si>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</si>
  <si>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</si>
  <si>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</si>
  <si>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</si>
  <si>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</si>
  <si>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</si>
  <si>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</si>
  <si>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</si>
  <si>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</si>
  <si>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</si>
  <si>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</si>
  <si>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</si>
  <si>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</si>
  <si>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</si>
  <si>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</si>
  <si>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</si>
  <si>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</si>
  <si>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</si>
  <si>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</si>
  <si>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</si>
  <si>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</si>
  <si>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</si>
  <si>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</si>
  <si>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</si>
  <si>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</si>
  <si>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</si>
  <si>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</si>
  <si>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</si>
  <si>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</si>
  <si>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</si>
  <si>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</si>
  <si>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</si>
  <si>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</si>
  <si>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</si>
  <si>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</si>
  <si>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</si>
  <si>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</si>
  <si>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</si>
  <si>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</si>
  <si>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</si>
  <si>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</si>
  <si>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</si>
  <si>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</si>
  <si>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</si>
  <si>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</si>
  <si>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</si>
  <si>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</si>
  <si>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</si>
  <si>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</si>
  <si>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</si>
  <si>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</si>
  <si>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</si>
  <si>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</si>
  <si>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</si>
  <si>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</si>
  <si>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</si>
  <si>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</si>
  <si>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</si>
  <si>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</si>
  <si>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</si>
  <si>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</si>
  <si>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</si>
  <si>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</si>
  <si>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</si>
  <si>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</si>
  <si>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</si>
  <si>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</si>
  <si>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</si>
  <si>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</si>
  <si>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</si>
  <si>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</si>
  <si>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</si>
  <si>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</si>
  <si>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</si>
  <si>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</si>
  <si>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</si>
  <si>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</si>
  <si>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</si>
  <si>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</si>
  <si>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</si>
  <si>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</si>
  <si>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</si>
  <si>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</si>
  <si>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</si>
  <si>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</si>
  <si>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</si>
  <si>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</si>
  <si>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</si>
  <si>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</si>
  <si>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</si>
  <si>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</si>
  <si>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</si>
  <si>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</si>
  <si>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</si>
  <si>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</si>
  <si>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</si>
  <si>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</si>
  <si>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</si>
  <si>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</si>
  <si>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</si>
  <si>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</si>
  <si>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</si>
  <si>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</si>
  <si>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</si>
  <si>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</si>
  <si>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</si>
  <si>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</si>
  <si>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</si>
  <si>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</si>
  <si>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</si>
  <si>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</si>
  <si>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</si>
  <si>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</si>
  <si>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</si>
  <si>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</si>
  <si>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</si>
  <si>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</si>
  <si>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</si>
  <si>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</si>
  <si>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</si>
  <si>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</si>
  <si>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</si>
  <si>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</si>
  <si>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</si>
  <si>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</si>
  <si>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</si>
  <si>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</si>
  <si>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</si>
  <si>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</si>
  <si>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</si>
  <si>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</si>
  <si>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</si>
  <si>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</si>
  <si>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</si>
  <si>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</si>
  <si>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</si>
  <si>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</si>
  <si>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</si>
  <si>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</si>
  <si>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</si>
  <si>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</si>
  <si>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</si>
  <si>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</si>
  <si>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</si>
  <si>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</si>
  <si>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</si>
  <si>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</si>
  <si>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</si>
  <si>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</si>
  <si>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</si>
  <si>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</si>
  <si>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</si>
  <si>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</si>
  <si>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</si>
  <si>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</si>
  <si>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</si>
  <si>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</si>
  <si>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</si>
  <si>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</si>
  <si>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</si>
  <si>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</si>
  <si>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</si>
  <si>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</si>
  <si>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</si>
  <si>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</si>
  <si>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</si>
  <si>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</si>
  <si>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</si>
  <si>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</si>
  <si>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</si>
  <si>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</si>
  <si>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</si>
  <si>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</si>
  <si>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</si>
  <si>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</si>
  <si>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</si>
  <si>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</si>
  <si>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</si>
  <si>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</si>
  <si>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</si>
  <si>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</si>
  <si>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</si>
  <si>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</si>
  <si>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</si>
  <si>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</si>
  <si>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</si>
  <si>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</si>
  <si>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</si>
  <si>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</si>
  <si>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</si>
  <si>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</si>
  <si>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</si>
  <si>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</si>
  <si>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</si>
  <si>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</si>
  <si>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</si>
  <si>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</si>
  <si>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</si>
  <si>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</si>
  <si>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</si>
  <si>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</si>
  <si>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</si>
  <si>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</si>
  <si>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</si>
  <si>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</si>
  <si>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</si>
  <si>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</si>
  <si>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</si>
  <si>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</si>
  <si>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</si>
  <si>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</si>
  <si>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</si>
  <si>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</si>
  <si>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</si>
  <si>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</si>
  <si>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</si>
  <si>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</si>
  <si>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</si>
  <si>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</si>
  <si>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</si>
  <si>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</si>
  <si>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</si>
  <si>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</si>
  <si>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</si>
  <si>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</si>
  <si>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</si>
  <si>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</si>
  <si>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</si>
  <si>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</si>
  <si>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</si>
  <si>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</si>
  <si>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</si>
  <si>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</si>
  <si>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</si>
  <si>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</si>
  <si>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</si>
  <si>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</si>
  <si>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</si>
  <si>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</si>
  <si>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</si>
  <si>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</si>
  <si>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</si>
  <si>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</si>
  <si>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</si>
  <si>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</si>
  <si>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</si>
  <si>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</si>
  <si>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</si>
  <si>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</si>
  <si>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</si>
  <si>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</si>
  <si>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</si>
  <si>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</si>
  <si>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</si>
  <si>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</si>
  <si>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</si>
  <si>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</si>
  <si>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</si>
  <si>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</si>
  <si>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</si>
  <si>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</si>
  <si>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</si>
  <si>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</si>
  <si>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</si>
  <si>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</si>
  <si>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</si>
  <si>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</si>
  <si>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</si>
  <si>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</si>
  <si>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</si>
  <si>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</si>
  <si>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</si>
  <si>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</si>
  <si>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</si>
  <si>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</si>
  <si>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</si>
  <si>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</si>
  <si>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</si>
  <si>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</si>
  <si>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</si>
  <si>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</si>
  <si>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</si>
  <si>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</si>
  <si>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</si>
  <si>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</si>
  <si>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</si>
  <si>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</si>
  <si>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</si>
  <si>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</si>
  <si>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</si>
  <si>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</si>
  <si>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</si>
  <si>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</si>
  <si>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</si>
  <si>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</si>
  <si>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</si>
  <si>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</si>
  <si>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</si>
  <si>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</si>
  <si>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</si>
  <si>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</si>
  <si>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</si>
  <si>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</si>
  <si>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</si>
  <si>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</si>
  <si>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</si>
  <si>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</si>
  <si>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</si>
  <si>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</si>
  <si>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</si>
  <si>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</si>
  <si>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</si>
  <si>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</si>
  <si>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</si>
  <si>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</si>
  <si>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</si>
  <si>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</si>
  <si>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</si>
  <si>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</si>
  <si>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</si>
  <si>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</si>
  <si>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</si>
  <si>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</si>
  <si>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</si>
  <si>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</si>
  <si>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</si>
  <si>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</si>
  <si>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</si>
  <si>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</si>
  <si>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</si>
  <si>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</si>
  <si>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</si>
  <si>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</si>
  <si>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</si>
  <si>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</si>
  <si>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</si>
  <si>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</si>
  <si>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</si>
  <si>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</si>
  <si>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</si>
  <si>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</si>
  <si>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</si>
  <si>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</si>
  <si>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</si>
  <si>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</si>
  <si>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</si>
  <si>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</si>
  <si>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</si>
  <si>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</si>
  <si>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</si>
  <si>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</si>
  <si>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</si>
  <si>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</si>
  <si>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</si>
  <si>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</si>
  <si>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</si>
  <si>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</si>
  <si>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</si>
  <si>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</si>
  <si>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</si>
  <si>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</si>
  <si>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</si>
  <si>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</si>
  <si>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</si>
  <si>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</si>
  <si>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</si>
  <si>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</si>
  <si>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</si>
  <si>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</si>
  <si>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</si>
  <si>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</si>
  <si>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</si>
  <si>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</si>
  <si>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</si>
  <si>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</si>
  <si>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</si>
  <si>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</si>
  <si>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</si>
  <si>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</si>
  <si>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</si>
  <si>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</si>
  <si>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</si>
  <si>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</si>
  <si>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</si>
  <si>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</si>
  <si>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</si>
  <si>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</si>
  <si>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</si>
  <si>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</si>
  <si>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</si>
  <si>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</si>
  <si>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</si>
  <si>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</si>
  <si>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</si>
  <si>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</si>
  <si>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</si>
  <si>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</si>
  <si>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</si>
  <si>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</si>
  <si>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</si>
  <si>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</si>
  <si>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</si>
  <si>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</si>
  <si>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</si>
  <si>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</si>
  <si>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</si>
  <si>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</si>
  <si>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</si>
  <si>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</si>
  <si>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</si>
  <si>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</si>
  <si>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</si>
  <si>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</si>
  <si>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</si>
  <si>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</si>
  <si>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</si>
  <si>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</si>
  <si>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</si>
  <si>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</si>
  <si>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</si>
  <si>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</si>
  <si>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</si>
  <si>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</si>
  <si>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</si>
  <si>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</si>
  <si>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</si>
  <si>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</si>
  <si>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</si>
  <si>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</si>
  <si>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</si>
  <si>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</si>
  <si>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</si>
  <si>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</si>
  <si>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</si>
  <si>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</si>
  <si>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</si>
  <si>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</si>
  <si>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</si>
  <si>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</si>
  <si>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</si>
  <si>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</si>
  <si>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</si>
  <si>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</si>
  <si>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</si>
  <si>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</si>
  <si>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</si>
  <si>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</si>
  <si>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</si>
  <si>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</si>
  <si>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</si>
  <si>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</si>
  <si>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</si>
  <si>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</si>
  <si>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</si>
  <si>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</si>
  <si>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</si>
  <si>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</si>
  <si>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</si>
  <si>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</si>
  <si>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</si>
  <si>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</si>
  <si>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</si>
  <si>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</si>
  <si>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</si>
  <si>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</si>
  <si>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</si>
  <si>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</si>
  <si>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</si>
  <si>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</si>
  <si>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</si>
  <si>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</si>
  <si>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</si>
  <si>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</si>
  <si>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</si>
  <si>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</si>
  <si>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</si>
  <si>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</si>
  <si>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</si>
  <si>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</si>
  <si>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</si>
  <si>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</si>
  <si>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</si>
  <si>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</si>
  <si>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</si>
  <si>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</si>
  <si>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</si>
  <si>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</si>
  <si>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</si>
  <si>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</si>
  <si>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</si>
  <si>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</si>
  <si>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</si>
  <si>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</si>
  <si>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</si>
  <si>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</si>
  <si>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</si>
  <si>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</si>
  <si>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</si>
  <si>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</si>
  <si>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</si>
  <si>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</si>
  <si>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</si>
  <si>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</si>
  <si>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</si>
  <si>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</si>
  <si>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</si>
  <si>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</si>
  <si>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</si>
  <si>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</si>
  <si>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</si>
  <si>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</si>
  <si>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</si>
  <si>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</si>
  <si>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</si>
  <si>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</si>
  <si>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</si>
  <si>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</si>
  <si>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</si>
  <si>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</si>
  <si>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</si>
  <si>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</si>
  <si>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</si>
  <si>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</si>
  <si>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</si>
  <si>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</si>
  <si>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</si>
  <si>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</si>
  <si>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</si>
  <si>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</si>
  <si>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</si>
  <si>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</si>
  <si>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</si>
  <si>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</si>
  <si>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</si>
  <si>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</si>
  <si>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</si>
  <si>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</si>
  <si>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</si>
  <si>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</si>
  <si>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</si>
  <si>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</si>
  <si>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</si>
  <si>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</si>
  <si>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</si>
  <si>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</si>
  <si>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</si>
  <si>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</si>
  <si>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</si>
  <si>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</si>
  <si>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</si>
  <si>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</si>
  <si>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</si>
  <si>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</si>
  <si>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</si>
  <si>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</si>
  <si>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</si>
  <si>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</si>
  <si>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</si>
  <si>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</si>
  <si>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</si>
  <si>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</si>
  <si>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</si>
  <si>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</si>
  <si>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</si>
  <si>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</si>
  <si>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</si>
  <si>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</si>
  <si>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</si>
  <si>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</si>
  <si>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</si>
  <si>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</si>
  <si>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</si>
  <si>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</si>
  <si>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</si>
  <si>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</si>
  <si>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</si>
  <si>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</si>
  <si>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</si>
  <si>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</si>
  <si>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</si>
  <si>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</si>
  <si>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</si>
  <si>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</si>
  <si>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</si>
  <si>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</si>
  <si>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</si>
  <si>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</si>
  <si>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</si>
  <si>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</si>
  <si>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</si>
  <si>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</si>
  <si>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</si>
  <si>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</si>
  <si>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</si>
  <si>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</si>
  <si>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</si>
  <si>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</si>
  <si>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</si>
  <si>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</si>
  <si>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</si>
  <si>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</si>
  <si>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</si>
  <si>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</si>
  <si>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</si>
  <si>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</si>
  <si>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</si>
  <si>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</si>
  <si>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</si>
  <si>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</si>
  <si>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</si>
  <si>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</si>
  <si>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</si>
  <si>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</si>
  <si>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</si>
  <si>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</si>
  <si>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</si>
  <si>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</si>
  <si>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</si>
  <si>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</si>
  <si>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</si>
  <si>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</si>
  <si>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</si>
  <si>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</si>
  <si>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</si>
  <si>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</si>
  <si>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</si>
  <si>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</si>
  <si>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</si>
  <si>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</si>
  <si>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</si>
  <si>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</si>
  <si>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</si>
  <si>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</si>
  <si>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</si>
  <si>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</si>
  <si>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</si>
  <si>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</si>
  <si>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</si>
  <si>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</si>
  <si>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</si>
  <si>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</si>
  <si>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</si>
  <si>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</si>
  <si>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</si>
  <si>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</si>
  <si>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</si>
  <si>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</si>
  <si>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</si>
  <si>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</si>
  <si>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</si>
  <si>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</si>
  <si>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</si>
  <si>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</si>
  <si>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</si>
  <si>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</si>
  <si>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</si>
  <si>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</si>
  <si>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</si>
  <si>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</si>
  <si>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</si>
  <si>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</si>
  <si>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</si>
  <si>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</si>
  <si>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</si>
  <si>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</si>
  <si>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</si>
  <si>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</si>
  <si>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</si>
  <si>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</si>
  <si>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</si>
  <si>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</si>
  <si>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</si>
  <si>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</si>
  <si>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</si>
  <si>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</si>
  <si>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</si>
  <si>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</si>
  <si>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</si>
  <si>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</si>
  <si>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</si>
  <si>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</si>
  <si>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</si>
  <si>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</si>
  <si>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</si>
  <si>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</si>
  <si>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</si>
  <si>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</si>
  <si>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</si>
  <si>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</si>
  <si>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</si>
  <si>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</si>
  <si>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</si>
  <si>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</si>
  <si>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</si>
  <si>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</si>
  <si>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</si>
  <si>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</si>
  <si>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</si>
  <si>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</si>
  <si>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</si>
  <si>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</si>
  <si>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</si>
  <si>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</si>
  <si>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</si>
  <si>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</si>
  <si>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</si>
  <si>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</si>
  <si>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</si>
  <si>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</si>
  <si>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</si>
  <si>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</si>
  <si>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</si>
  <si>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</si>
  <si>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</si>
  <si>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</si>
  <si>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</si>
  <si>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</si>
  <si>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</si>
  <si>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</si>
  <si>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</si>
  <si>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</si>
  <si>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</si>
  <si>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</si>
  <si>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</si>
  <si>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</si>
  <si>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</si>
  <si>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</si>
  <si>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</si>
  <si>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</si>
  <si>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</si>
  <si>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</si>
  <si>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</si>
  <si>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</si>
  <si>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</si>
  <si>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</si>
  <si>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</si>
  <si>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</si>
  <si>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</si>
  <si>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</si>
  <si>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</si>
  <si>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</si>
  <si>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</si>
  <si>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</si>
  <si>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</si>
  <si>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</si>
  <si>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</si>
  <si>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</si>
  <si>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</si>
  <si>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</si>
  <si>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</si>
  <si>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</si>
  <si>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</si>
  <si>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</si>
  <si>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</si>
  <si>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</si>
  <si>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</si>
  <si>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</si>
  <si>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</si>
  <si>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</si>
  <si>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</si>
  <si>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</si>
  <si>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</si>
  <si>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</si>
  <si>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</si>
  <si>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</si>
  <si>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</si>
  <si>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</si>
  <si>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</si>
  <si>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</si>
  <si>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</si>
  <si>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</si>
  <si>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</si>
  <si>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</si>
  <si>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</si>
  <si>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</si>
  <si>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</si>
  <si>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</si>
  <si>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</si>
  <si>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</si>
  <si>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</si>
  <si>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</si>
  <si>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</si>
  <si>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</si>
  <si>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</si>
  <si>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</si>
  <si>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</si>
  <si>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</si>
  <si>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</si>
  <si>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</si>
  <si>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</si>
  <si>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</si>
  <si>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</si>
  <si>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</si>
  <si>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</si>
  <si>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</si>
  <si>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</si>
  <si>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</si>
  <si>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</si>
  <si>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</si>
  <si>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</si>
  <si>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</si>
  <si>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</si>
  <si>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</si>
  <si>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</si>
  <si>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</si>
  <si>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</si>
  <si>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</si>
  <si>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</si>
  <si>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</si>
  <si>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</si>
  <si>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</si>
  <si>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</si>
  <si>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</si>
  <si>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</si>
  <si>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</si>
  <si>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</si>
  <si>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</si>
  <si>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</si>
  <si>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</si>
  <si>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</si>
  <si>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</si>
  <si>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</si>
  <si>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</si>
  <si>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</si>
  <si>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</si>
  <si>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</si>
  <si>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</si>
  <si>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</si>
  <si>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</si>
  <si>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</si>
  <si>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</si>
  <si>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</si>
  <si>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</si>
  <si>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</si>
  <si>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</si>
  <si>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</si>
  <si>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</si>
  <si>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</si>
  <si>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</si>
  <si>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</si>
  <si>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</si>
  <si>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</si>
  <si>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</si>
  <si>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</si>
  <si>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</si>
  <si>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</si>
  <si>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</si>
  <si>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</si>
  <si>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</si>
  <si>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</si>
  <si>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</si>
  <si>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</si>
  <si>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</si>
  <si>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</si>
  <si>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</si>
  <si>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</si>
  <si>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</si>
  <si>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</si>
  <si>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</si>
  <si>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</si>
  <si>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</si>
  <si>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</si>
  <si>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</si>
  <si>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</si>
  <si>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</si>
  <si>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</si>
  <si>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</si>
  <si>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</si>
  <si>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</si>
  <si>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</si>
  <si>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</si>
  <si>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</si>
  <si>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</si>
  <si>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</si>
  <si>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</si>
  <si>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</si>
  <si>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</si>
  <si>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</si>
  <si>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</si>
  <si>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</si>
  <si>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</si>
  <si>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</si>
  <si>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</si>
  <si>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</si>
  <si>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</si>
  <si>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</si>
  <si>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</si>
  <si>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</si>
  <si>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</si>
  <si>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</si>
  <si>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</si>
  <si>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</si>
  <si>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</si>
  <si>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</si>
  <si>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</si>
  <si>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</si>
  <si>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</si>
  <si>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</si>
  <si>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</si>
  <si>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</si>
  <si>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</si>
  <si>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</si>
  <si>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</si>
  <si>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</si>
  <si>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</si>
  <si>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</si>
  <si>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</si>
  <si>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</si>
  <si>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</si>
  <si>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</si>
  <si>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</si>
  <si>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</si>
  <si>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</si>
  <si>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</si>
  <si>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</si>
  <si>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</si>
  <si>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</si>
  <si>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</si>
  <si>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</si>
  <si>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</si>
  <si>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</si>
  <si>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</si>
  <si>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</si>
  <si>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</si>
  <si>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</si>
  <si>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</si>
  <si>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</si>
  <si>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</si>
  <si>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</si>
  <si>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</si>
  <si>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</si>
  <si>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</si>
  <si>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</si>
  <si>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</si>
  <si>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</si>
  <si>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</si>
  <si>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</si>
  <si>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</si>
  <si>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</si>
  <si>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</si>
  <si>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</si>
  <si>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</si>
  <si>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</si>
  <si>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</si>
  <si>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</si>
  <si>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</si>
  <si>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</si>
  <si>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</si>
  <si>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</si>
  <si>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</si>
  <si>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</si>
  <si>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</si>
  <si>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</si>
  <si>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</si>
  <si>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</si>
  <si>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</si>
  <si>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</si>
  <si>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</si>
  <si>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</si>
  <si>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</si>
  <si>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</si>
  <si>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</si>
  <si>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</si>
  <si>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</si>
  <si>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</si>
  <si>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</si>
  <si>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</si>
  <si>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</si>
  <si>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</si>
  <si>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</si>
  <si>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</si>
  <si>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</si>
  <si>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</si>
  <si>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</si>
  <si>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</si>
  <si>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</si>
  <si>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</si>
  <si>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</si>
  <si>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</si>
  <si>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</si>
  <si>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</si>
  <si>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</si>
  <si>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</si>
  <si>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</si>
  <si>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</si>
  <si>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</si>
  <si>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</si>
  <si>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</si>
  <si>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</si>
  <si>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</si>
  <si>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</si>
  <si>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</si>
  <si>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</si>
  <si>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</si>
  <si>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</si>
  <si>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</si>
  <si>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</si>
  <si>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</si>
  <si>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</si>
  <si>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</si>
  <si>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</si>
  <si>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</si>
  <si>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</si>
  <si>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</si>
  <si>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</si>
  <si>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</si>
  <si>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</si>
  <si>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</si>
  <si>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</si>
  <si>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</si>
  <si>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</si>
  <si>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</si>
  <si>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</si>
  <si>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</si>
  <si>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</si>
  <si>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</si>
  <si>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</si>
  <si>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</si>
  <si>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</si>
  <si>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</si>
  <si>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</si>
  <si>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</si>
  <si>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</si>
  <si>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</si>
  <si>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</si>
  <si>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</si>
  <si>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</si>
  <si>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</si>
  <si>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</si>
  <si>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</si>
  <si>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</si>
  <si>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</si>
  <si>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</si>
  <si>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</si>
  <si>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</si>
  <si>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</si>
  <si>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</si>
  <si>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</si>
  <si>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</si>
  <si>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</si>
  <si>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</si>
  <si>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</si>
  <si>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</si>
  <si>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</si>
  <si>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</si>
  <si>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</si>
  <si>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</si>
  <si>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</si>
  <si>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</si>
  <si>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</si>
  <si>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</si>
  <si>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</si>
  <si>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</si>
  <si>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</si>
  <si>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</si>
  <si>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</si>
  <si>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</si>
  <si>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</si>
  <si>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</si>
  <si>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</si>
  <si>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</si>
  <si>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</si>
  <si>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</si>
  <si>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</si>
  <si>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</si>
  <si>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</si>
  <si>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</si>
  <si>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</si>
  <si>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</si>
  <si>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</si>
  <si>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</si>
  <si>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</si>
  <si>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</si>
  <si>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</si>
  <si>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</si>
  <si>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</si>
  <si>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</si>
  <si>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</si>
  <si>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</si>
  <si>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</si>
  <si>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</si>
  <si>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</si>
  <si>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</si>
  <si>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</si>
  <si>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</si>
  <si>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</si>
  <si>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</si>
  <si>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</si>
  <si>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</si>
  <si>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</si>
  <si>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</si>
  <si>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</si>
  <si>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</si>
  <si>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</si>
  <si>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</si>
  <si>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</si>
  <si>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</si>
  <si>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</si>
  <si>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</si>
  <si>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</si>
  <si>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</si>
  <si>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</si>
  <si>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</si>
  <si>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</si>
  <si>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</si>
  <si>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</si>
  <si>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</si>
  <si>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</si>
  <si>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</si>
  <si>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</si>
  <si>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</si>
  <si>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</si>
  <si>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</si>
  <si>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</si>
  <si>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</si>
  <si>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</si>
  <si>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</si>
  <si>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</si>
  <si>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</si>
  <si>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</si>
  <si>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</si>
  <si>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</si>
  <si>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</si>
  <si>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</si>
  <si>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</si>
  <si>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</si>
  <si>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</si>
  <si>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</si>
  <si>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</si>
  <si>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</si>
  <si>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</si>
  <si>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</si>
  <si>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</si>
  <si>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</si>
  <si>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</si>
  <si>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</si>
  <si>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</si>
  <si>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</si>
  <si>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</si>
  <si>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</si>
  <si>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</si>
  <si>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</si>
  <si>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</si>
  <si>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</si>
  <si>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</si>
  <si>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</si>
  <si>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</si>
  <si>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</si>
  <si>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</si>
  <si>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</si>
  <si>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</si>
  <si>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</si>
  <si>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</si>
  <si>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</si>
  <si>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</si>
  <si>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</si>
  <si>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</si>
  <si>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</si>
  <si>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</si>
  <si>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</si>
  <si>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</si>
  <si>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</si>
  <si>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</si>
  <si>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</si>
  <si>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</si>
  <si>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</si>
  <si>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</si>
  <si>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</si>
  <si>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</si>
  <si>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</si>
  <si>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</si>
  <si>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</si>
  <si>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</si>
  <si>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</si>
  <si>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</si>
  <si>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</si>
  <si>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</si>
  <si>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</si>
  <si>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</si>
  <si>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</si>
  <si>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</si>
  <si>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</si>
  <si>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</si>
  <si>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</si>
  <si>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</si>
  <si>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</si>
  <si>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</si>
  <si>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</si>
  <si>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</si>
  <si>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</si>
  <si>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</si>
  <si>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</si>
  <si>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</si>
  <si>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</si>
  <si>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</si>
  <si>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</si>
  <si>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</si>
  <si>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</si>
  <si>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</si>
  <si>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</si>
  <si>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</si>
  <si>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</si>
  <si>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</si>
  <si>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</si>
  <si>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</si>
  <si>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</si>
  <si>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</si>
  <si>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</si>
  <si>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</si>
  <si>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</si>
  <si>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</si>
  <si>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</si>
  <si>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</si>
  <si>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</si>
  <si>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</si>
  <si>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</si>
  <si>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</si>
  <si>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</si>
  <si>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</si>
  <si>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</si>
  <si>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</si>
  <si>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</si>
  <si>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</si>
  <si>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</si>
  <si>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</si>
  <si>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</si>
  <si>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</si>
  <si>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</si>
  <si>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</si>
  <si>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</si>
  <si>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</si>
  <si>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</si>
  <si>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</si>
  <si>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</si>
  <si>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</si>
  <si>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</si>
  <si>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</si>
  <si>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</si>
  <si>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</si>
  <si>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</si>
  <si>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</si>
  <si>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</si>
  <si>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</si>
  <si>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</si>
  <si>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</si>
  <si>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</si>
  <si>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</si>
  <si>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</si>
  <si>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</si>
  <si>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</si>
  <si>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</si>
  <si>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</si>
  <si>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</si>
  <si>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</si>
  <si>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</si>
  <si>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</si>
  <si>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</si>
  <si>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</si>
  <si>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</si>
  <si>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</si>
  <si>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</si>
  <si>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</si>
  <si>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</si>
  <si>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</si>
  <si>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</si>
  <si>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</si>
  <si>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</si>
  <si>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</si>
  <si>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</si>
  <si>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</si>
  <si>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</si>
  <si>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</si>
  <si>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</si>
  <si>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</si>
  <si>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</si>
  <si>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</si>
  <si>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</si>
  <si>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</si>
  <si>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</si>
  <si>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</si>
  <si>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</si>
  <si>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</si>
  <si>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</si>
  <si>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</si>
  <si>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</si>
  <si>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</si>
  <si>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</si>
  <si>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</si>
  <si>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</si>
  <si>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</si>
  <si>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</si>
  <si>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</si>
  <si>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</si>
  <si>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</si>
  <si>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</si>
  <si>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</si>
  <si>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</si>
  <si>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</si>
  <si>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</si>
  <si>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</si>
  <si>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</si>
  <si>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</si>
  <si>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</si>
  <si>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</si>
  <si>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</si>
  <si>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</si>
  <si>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</si>
  <si>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</si>
  <si>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</si>
  <si>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</si>
  <si>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</si>
  <si>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</si>
  <si>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</si>
  <si>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</si>
  <si>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</si>
  <si>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</si>
  <si>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</si>
  <si>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</si>
  <si>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</si>
  <si>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</si>
  <si>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</si>
  <si>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</si>
  <si>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</si>
  <si>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</si>
  <si>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</si>
  <si>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</si>
  <si>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</si>
  <si>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</si>
  <si>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</si>
  <si>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</si>
  <si>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</si>
  <si>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</si>
  <si>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</si>
  <si>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</si>
  <si>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</si>
  <si>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</si>
  <si>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</si>
  <si>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</si>
  <si>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</si>
  <si>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</si>
  <si>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</si>
  <si>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</si>
  <si>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</si>
  <si>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</si>
  <si>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</si>
  <si>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</si>
  <si>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</si>
  <si>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</si>
  <si>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</si>
  <si>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</si>
  <si>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</si>
  <si>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</si>
  <si>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</si>
  <si>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</si>
  <si>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</si>
  <si>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</si>
  <si>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</si>
  <si>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</si>
  <si>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</si>
  <si>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</si>
  <si>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</si>
  <si>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</si>
  <si>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</si>
  <si>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</si>
  <si>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</si>
  <si>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</si>
  <si>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</si>
  <si>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</si>
  <si>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</si>
  <si>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</si>
  <si>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</si>
  <si>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</si>
  <si>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</si>
  <si>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</si>
  <si>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</si>
  <si>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</si>
  <si>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</si>
  <si>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</si>
  <si>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</si>
  <si>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</si>
  <si>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</si>
  <si>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</si>
  <si>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</si>
  <si>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</si>
  <si>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</si>
  <si>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</si>
  <si>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</si>
  <si>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</si>
  <si>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</si>
  <si>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</si>
  <si>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</si>
  <si>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</si>
  <si>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</si>
  <si>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</si>
  <si>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</si>
  <si>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</si>
  <si>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</si>
  <si>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</si>
  <si>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</si>
  <si>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</si>
  <si>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</si>
  <si>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</si>
  <si>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</si>
  <si>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</si>
  <si>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</si>
  <si>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</si>
  <si>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</si>
  <si>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</si>
  <si>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</si>
  <si>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</si>
  <si>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</si>
  <si>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</si>
  <si>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</si>
  <si>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</si>
  <si>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</si>
  <si>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</si>
  <si>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</si>
  <si>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</si>
  <si>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</si>
  <si>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</si>
  <si>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</si>
  <si>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</si>
  <si>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</si>
  <si>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</si>
  <si>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</si>
  <si>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</si>
  <si>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</si>
  <si>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</si>
  <si>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</si>
  <si>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</si>
  <si>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</si>
  <si>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</si>
  <si>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</si>
  <si>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</si>
  <si>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</si>
  <si>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</si>
  <si>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</si>
  <si>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</si>
  <si>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</si>
  <si>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</si>
  <si>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</si>
  <si>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</si>
  <si>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</si>
  <si>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</si>
  <si>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</si>
  <si>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</si>
  <si>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</si>
  <si>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</si>
  <si>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</si>
  <si>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</si>
  <si>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</si>
  <si>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</si>
  <si>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</si>
  <si>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</si>
  <si>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</si>
  <si>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</si>
  <si>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</si>
  <si>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</si>
  <si>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</si>
  <si>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</si>
  <si>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</si>
  <si>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</si>
  <si>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</si>
  <si>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</si>
  <si>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</si>
  <si>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</si>
  <si>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</si>
  <si>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</si>
  <si>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</si>
  <si>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</si>
  <si>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</si>
  <si>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</si>
  <si>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</si>
  <si>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</si>
  <si>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</si>
  <si>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</si>
  <si>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</si>
  <si>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</si>
  <si>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</si>
  <si>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</si>
  <si>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</si>
  <si>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</si>
  <si>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</si>
  <si>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</si>
  <si>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</si>
  <si>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</si>
  <si>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</si>
  <si>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</si>
  <si>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</si>
  <si>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</si>
  <si>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</si>
  <si>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</si>
  <si>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</si>
  <si>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</si>
  <si>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</si>
  <si>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</si>
  <si>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</si>
  <si>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</si>
  <si>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</si>
  <si>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</si>
  <si>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</si>
  <si>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</si>
  <si>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</si>
  <si>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</si>
  <si>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</si>
  <si>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</si>
  <si>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</si>
  <si>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</si>
  <si>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</si>
  <si>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</si>
  <si>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</si>
  <si>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</si>
  <si>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</si>
  <si>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</si>
  <si>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</si>
  <si>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</si>
  <si>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</si>
  <si>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</si>
  <si>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</si>
  <si>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</si>
  <si>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</si>
  <si>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</si>
  <si>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</si>
  <si>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</si>
  <si>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</si>
  <si>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</si>
  <si>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</si>
  <si>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</si>
  <si>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</si>
  <si>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</si>
  <si>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</si>
  <si>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</si>
  <si>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</si>
  <si>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</si>
  <si>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</si>
  <si>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</si>
  <si>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</si>
  <si>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</si>
  <si>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</si>
  <si>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</si>
  <si>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</si>
  <si>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</si>
  <si>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</si>
  <si>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</si>
  <si>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</si>
  <si>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</si>
  <si>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</si>
  <si>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</si>
  <si>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</si>
  <si>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</si>
  <si>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</si>
  <si>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</si>
  <si>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</si>
  <si>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</si>
  <si>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</si>
  <si>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</si>
  <si>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</si>
  <si>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</si>
  <si>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</si>
  <si>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</si>
  <si>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</si>
  <si>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</si>
  <si>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</si>
  <si>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</si>
  <si>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</si>
  <si>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</si>
  <si>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</si>
  <si>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</si>
  <si>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</si>
  <si>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</si>
  <si>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</si>
  <si>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</si>
  <si>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</si>
  <si>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</si>
  <si>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</si>
  <si>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</si>
  <si>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</si>
  <si>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</si>
  <si>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</si>
  <si>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</si>
  <si>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</si>
  <si>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</si>
  <si>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</si>
  <si>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</si>
  <si>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</si>
  <si>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</si>
  <si>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</si>
  <si>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</si>
  <si>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</si>
  <si>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</si>
  <si>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</si>
  <si>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</si>
  <si>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</si>
  <si>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</si>
  <si>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</si>
  <si>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</si>
  <si>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</si>
  <si>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</si>
  <si>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</si>
  <si>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</si>
  <si>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</si>
  <si>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</si>
  <si>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</si>
  <si>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</si>
  <si>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</si>
  <si>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</si>
  <si>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</si>
  <si>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</si>
  <si>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</si>
  <si>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</si>
  <si>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</si>
  <si>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</si>
  <si>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</si>
  <si>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</si>
  <si>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</si>
  <si>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</si>
  <si>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</si>
  <si>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</si>
  <si>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</si>
  <si>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</si>
  <si>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</si>
  <si>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</si>
  <si>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</si>
  <si>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</si>
  <si>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</si>
  <si>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</si>
  <si>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</si>
  <si>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</si>
  <si>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</si>
  <si>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</si>
  <si>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</si>
  <si>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</si>
  <si>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</si>
  <si>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</si>
  <si>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</si>
  <si>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</si>
  <si>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</si>
  <si>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</si>
  <si>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</si>
  <si>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</si>
  <si>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</si>
  <si>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</si>
  <si>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</si>
  <si>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</si>
  <si>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</si>
  <si>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</si>
  <si>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</si>
  <si>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</si>
  <si>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</si>
  <si>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</si>
  <si>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</si>
  <si>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</si>
  <si>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</si>
  <si>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</si>
  <si>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</si>
  <si>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</si>
  <si>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</si>
  <si>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</si>
  <si>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</si>
  <si>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</si>
  <si>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</si>
  <si>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</si>
  <si>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</si>
  <si>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</si>
  <si>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</si>
  <si>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</si>
  <si>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</si>
  <si>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</si>
  <si>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</si>
  <si>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</si>
  <si>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</si>
  <si>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</si>
  <si>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</si>
  <si>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</si>
  <si>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</si>
  <si>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</si>
  <si>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</si>
  <si>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</si>
  <si>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</si>
  <si>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</si>
  <si>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</si>
  <si>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</si>
  <si>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</si>
  <si>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</si>
  <si>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</si>
  <si>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</si>
  <si>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</si>
  <si>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</si>
  <si>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</si>
  <si>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</si>
  <si>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</si>
  <si>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</si>
  <si>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</si>
  <si>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</si>
  <si>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</si>
  <si>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</si>
  <si>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</si>
  <si>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</si>
  <si>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</si>
  <si>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</si>
  <si>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</si>
  <si>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</si>
  <si>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</si>
  <si>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</si>
  <si>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</si>
  <si>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</si>
  <si>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</si>
  <si>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</si>
  <si>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</si>
  <si>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</si>
  <si>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</si>
  <si>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</si>
  <si>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</si>
  <si>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</si>
  <si>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</si>
  <si>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</si>
  <si>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</si>
  <si>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</si>
  <si>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</si>
  <si>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</si>
  <si>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</si>
  <si>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</si>
  <si>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</si>
  <si>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</si>
  <si>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</si>
  <si>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</si>
  <si>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</si>
  <si>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</si>
  <si>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</si>
  <si>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</si>
  <si>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</si>
  <si>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</si>
  <si>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</si>
  <si>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</si>
  <si>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</si>
  <si>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</si>
  <si>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</si>
  <si>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</si>
  <si>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</si>
  <si>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</si>
  <si>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</si>
  <si>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</si>
  <si>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</si>
  <si>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</si>
  <si>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</si>
  <si>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</si>
  <si>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</si>
  <si>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</si>
  <si>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</si>
  <si>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</si>
  <si>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</si>
  <si>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</si>
  <si>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</si>
  <si>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</si>
  <si>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</si>
  <si>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</si>
  <si>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</si>
  <si>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</si>
  <si>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</si>
  <si>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</si>
  <si>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</si>
  <si>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</si>
  <si>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</si>
  <si>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</si>
  <si>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</si>
  <si>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D:\Street Lighting\Tool Dev\Validation TEsting\Reference Scenarios\IES Files\ATB0_20B_LED_E53_XXXXX_R2.ies</t>
  </si>
  <si>
    <t>D:\Street Lighting\Tool Dev\Validation TEsting\Reference Scenarios\IES Files\ATB0_30B_LED_E53_XXXXX_R2.ies</t>
  </si>
  <si>
    <t>ATB0_30B_LED_E53_XXXXX_R2.ies</t>
  </si>
  <si>
    <t>D:\Street Lighting\Tool Dev\Validation TEsting\Reference Scenarios\IES Files\ATB2_40B_LED_E70_XXXXX_R2.ies</t>
  </si>
  <si>
    <t>ATB2_40B_LED_E70_XXXXX_R2.ies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</si>
  <si>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</si>
  <si>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</si>
  <si>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</si>
  <si>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</si>
  <si>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</si>
  <si>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</si>
  <si>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</si>
  <si>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</si>
  <si>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</si>
  <si>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</si>
  <si>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</si>
  <si>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x</t>
  </si>
  <si>
    <t>Fixture0</t>
  </si>
  <si>
    <t>X distance</t>
  </si>
  <si>
    <t>Y distance</t>
  </si>
  <si>
    <t>X distances</t>
  </si>
  <si>
    <t>Fixture1</t>
  </si>
  <si>
    <t>Fixture2</t>
  </si>
  <si>
    <t>Fixture3</t>
  </si>
  <si>
    <t>Fixture4</t>
  </si>
  <si>
    <t>Fixture5</t>
  </si>
  <si>
    <t>Fixture6</t>
  </si>
  <si>
    <t>Fixture7</t>
  </si>
  <si>
    <t>Fixture8</t>
  </si>
  <si>
    <t>Fixture9</t>
  </si>
  <si>
    <t>Confirmation</t>
  </si>
  <si>
    <t>Scratch</t>
  </si>
  <si>
    <t>Lane 1 - 1/4 lane</t>
  </si>
  <si>
    <t>Lane 1 - 3/4 lane</t>
  </si>
  <si>
    <t>Lane 2 - 1/4 lane</t>
  </si>
  <si>
    <t>Lane 2 - 3/4 lane</t>
  </si>
  <si>
    <t>Lane 3 - 1/4 lane</t>
  </si>
  <si>
    <t>Lane 3 - 3/4 lane</t>
  </si>
  <si>
    <t>Lane 4 - 1/4 lane</t>
  </si>
  <si>
    <t>Lane 4 - 3/4 lane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</si>
</sst>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5">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17">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0" fillId="0" borderId="0" xfId="0" applyNumberForma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44" fontId="0" fillId="0" borderId="0" xfId="0" applyNumberForma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12" borderId="0" xfId="0" applyFill="1" applyBorder="1" applyAlignment="1">
      <alignment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0" fillId="4" borderId="23" xfId="0" applyFill="1" applyBorder="1" applyAlignment="1" applyProtection="1">
      <alignment horizontal="center"/>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22" fillId="4" borderId="60"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49">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585350296"/>
        <c:axId val="585351080"/>
      </c:scatterChart>
      <c:valAx>
        <c:axId val="585350296"/>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85351080"/>
        <c:crosses val="autoZero"/>
        <c:crossBetween val="midCat"/>
      </c:valAx>
      <c:valAx>
        <c:axId val="585351080"/>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8535029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11886888"/>
        <c:axId val="411887280"/>
      </c:scatterChart>
      <c:valAx>
        <c:axId val="411886888"/>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11887280"/>
        <c:crosses val="autoZero"/>
        <c:crossBetween val="midCat"/>
      </c:valAx>
      <c:valAx>
        <c:axId val="411887280"/>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11886888"/>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2"/>
                <c:pt idx="0">
                  <c:v>ATB2_40B_LED_E70_XXXXX_R2.ies</c:v>
                </c:pt>
                <c:pt idx="1">
                  <c:v>ATB2_40B_LED_E70_XXXXX_R2.ies</c:v>
                </c:pt>
              </c:strCache>
            </c:strRef>
          </c:cat>
          <c:val>
            <c:numRef>
              <c:f>Luminance!$K$4:$K$13</c:f>
              <c:numCache>
                <c:formatCode>0.00</c:formatCode>
                <c:ptCount val="10"/>
                <c:pt idx="0">
                  <c:v>0.6</c:v>
                </c:pt>
                <c:pt idx="1">
                  <c:v>0.6</c:v>
                </c:pt>
              </c:numCache>
            </c:numRef>
          </c:val>
        </c:ser>
        <c:dLbls>
          <c:showLegendKey val="0"/>
          <c:showVal val="0"/>
          <c:showCatName val="0"/>
          <c:showSerName val="0"/>
          <c:showPercent val="0"/>
          <c:showBubbleSize val="0"/>
        </c:dLbls>
        <c:gapWidth val="73"/>
        <c:axId val="542459400"/>
        <c:axId val="542458616"/>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Luminance!$F$4:$F$13</c:f>
              <c:numCache>
                <c:formatCode>0.00</c:formatCode>
                <c:ptCount val="10"/>
                <c:pt idx="0">
                  <c:v>1.1424180073258474</c:v>
                </c:pt>
                <c:pt idx="1">
                  <c:v>1.1423931386714454</c:v>
                </c:pt>
              </c:numCache>
            </c:numRef>
          </c:val>
        </c:ser>
        <c:dLbls>
          <c:showLegendKey val="0"/>
          <c:showVal val="0"/>
          <c:showCatName val="0"/>
          <c:showSerName val="0"/>
          <c:showPercent val="0"/>
          <c:showBubbleSize val="0"/>
        </c:dLbls>
        <c:gapWidth val="211"/>
        <c:axId val="542457832"/>
        <c:axId val="542459792"/>
      </c:barChart>
      <c:catAx>
        <c:axId val="542459400"/>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542458616"/>
        <c:crosses val="autoZero"/>
        <c:auto val="1"/>
        <c:lblAlgn val="ctr"/>
        <c:lblOffset val="100"/>
        <c:noMultiLvlLbl val="0"/>
      </c:catAx>
      <c:valAx>
        <c:axId val="542458616"/>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2459400"/>
        <c:crosses val="autoZero"/>
        <c:crossBetween val="between"/>
      </c:valAx>
      <c:catAx>
        <c:axId val="542457832"/>
        <c:scaling>
          <c:orientation val="minMax"/>
        </c:scaling>
        <c:delete val="1"/>
        <c:axPos val="b"/>
        <c:numFmt formatCode="General" sourceLinked="1"/>
        <c:majorTickMark val="out"/>
        <c:minorTickMark val="none"/>
        <c:tickLblPos val="nextTo"/>
        <c:crossAx val="542459792"/>
        <c:crosses val="autoZero"/>
        <c:auto val="1"/>
        <c:lblAlgn val="ctr"/>
        <c:lblOffset val="100"/>
        <c:noMultiLvlLbl val="0"/>
      </c:catAx>
      <c:valAx>
        <c:axId val="542459792"/>
        <c:scaling>
          <c:orientation val="minMax"/>
        </c:scaling>
        <c:delete val="1"/>
        <c:axPos val="r"/>
        <c:numFmt formatCode="0.00" sourceLinked="1"/>
        <c:majorTickMark val="out"/>
        <c:minorTickMark val="none"/>
        <c:tickLblPos val="nextTo"/>
        <c:crossAx val="542457832"/>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64.23</c:v>
                </c:pt>
                <c:pt idx="2">
                  <c:v>127.83</c:v>
                </c:pt>
                <c:pt idx="3">
                  <c:v>190.82</c:v>
                </c:pt>
                <c:pt idx="4">
                  <c:v>253.2</c:v>
                </c:pt>
                <c:pt idx="5">
                  <c:v>314.97000000000003</c:v>
                </c:pt>
                <c:pt idx="6">
                  <c:v>376.14</c:v>
                </c:pt>
                <c:pt idx="7">
                  <c:v>436.71</c:v>
                </c:pt>
                <c:pt idx="8">
                  <c:v>496.7</c:v>
                </c:pt>
                <c:pt idx="9">
                  <c:v>556.11</c:v>
                </c:pt>
                <c:pt idx="10">
                  <c:v>614.94000000000005</c:v>
                </c:pt>
                <c:pt idx="11">
                  <c:v>673.19</c:v>
                </c:pt>
                <c:pt idx="12">
                  <c:v>730.89</c:v>
                </c:pt>
                <c:pt idx="13">
                  <c:v>788.02</c:v>
                </c:pt>
                <c:pt idx="14">
                  <c:v>844.6</c:v>
                </c:pt>
                <c:pt idx="15">
                  <c:v>900.63</c:v>
                </c:pt>
                <c:pt idx="16">
                  <c:v>956.11</c:v>
                </c:pt>
                <c:pt idx="17">
                  <c:v>1011.06</c:v>
                </c:pt>
                <c:pt idx="18">
                  <c:v>1065.47</c:v>
                </c:pt>
                <c:pt idx="19">
                  <c:v>1119.3499999999999</c:v>
                </c:pt>
                <c:pt idx="20">
                  <c:v>1172.71</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654260120"/>
        <c:axId val="654259728"/>
      </c:lineChart>
      <c:catAx>
        <c:axId val="65426012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59728"/>
        <c:crosses val="autoZero"/>
        <c:auto val="1"/>
        <c:lblAlgn val="ctr"/>
        <c:lblOffset val="100"/>
        <c:noMultiLvlLbl val="0"/>
      </c:catAx>
      <c:valAx>
        <c:axId val="654259728"/>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60120"/>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91</c:v>
                </c:pt>
              </c:numCache>
            </c:numRef>
          </c:xVal>
          <c:yVal>
            <c:numRef>
              <c:f>Illuminance!$F$4</c:f>
              <c:numCache>
                <c:formatCode>0.00</c:formatCode>
                <c:ptCount val="1"/>
                <c:pt idx="0">
                  <c:v>14.031504644948239</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14.031504644948239</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654258552"/>
        <c:axId val="654259336"/>
      </c:scatterChart>
      <c:valAx>
        <c:axId val="654258552"/>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59336"/>
        <c:crosses val="autoZero"/>
        <c:crossBetween val="midCat"/>
      </c:valAx>
      <c:valAx>
        <c:axId val="654259336"/>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58552"/>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91</c:v>
                </c:pt>
              </c:numCache>
            </c:numRef>
          </c:xVal>
          <c:yVal>
            <c:numRef>
              <c:f>Luminance!$F$4</c:f>
              <c:numCache>
                <c:formatCode>0.00</c:formatCode>
                <c:ptCount val="1"/>
                <c:pt idx="0">
                  <c:v>1.1424180073258474</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1.1423931386714454</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654254240"/>
        <c:axId val="654256592"/>
      </c:scatterChart>
      <c:valAx>
        <c:axId val="65425424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56592"/>
        <c:crosses val="autoZero"/>
        <c:crossBetween val="midCat"/>
      </c:valAx>
      <c:valAx>
        <c:axId val="654256592"/>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5424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Illuminance!$I$4:$I$13</c:f>
              <c:numCache>
                <c:formatCode>0.00</c:formatCode>
                <c:ptCount val="10"/>
                <c:pt idx="0">
                  <c:v>2.0618349354559014</c:v>
                </c:pt>
                <c:pt idx="1">
                  <c:v>2.0618349354559014</c:v>
                </c:pt>
              </c:numCache>
            </c:numRef>
          </c:val>
        </c:ser>
        <c:dLbls>
          <c:showLegendKey val="0"/>
          <c:showVal val="0"/>
          <c:showCatName val="0"/>
          <c:showSerName val="0"/>
          <c:showPercent val="0"/>
          <c:showBubbleSize val="0"/>
        </c:dLbls>
        <c:gapWidth val="150"/>
        <c:axId val="654257768"/>
        <c:axId val="654253456"/>
      </c:barChart>
      <c:catAx>
        <c:axId val="654257768"/>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654253456"/>
        <c:crosses val="autoZero"/>
        <c:auto val="1"/>
        <c:lblAlgn val="ctr"/>
        <c:lblOffset val="100"/>
        <c:noMultiLvlLbl val="0"/>
      </c:catAx>
      <c:valAx>
        <c:axId val="654253456"/>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57768"/>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Luminance!$I$4:$I$13</c:f>
              <c:numCache>
                <c:formatCode>0.00</c:formatCode>
                <c:ptCount val="10"/>
                <c:pt idx="0">
                  <c:v>2.4380554507405128</c:v>
                </c:pt>
                <c:pt idx="1">
                  <c:v>2.4380023780840698</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2"/>
                <c:pt idx="0">
                  <c:v>ATB2_40B_LED_E70_XXXXX_R2.ies</c:v>
                </c:pt>
                <c:pt idx="1">
                  <c:v>ATB2_40B_LED_E70_XXXXX_R2.ies</c:v>
                </c:pt>
              </c:strCache>
            </c:strRef>
          </c:cat>
          <c:val>
            <c:numRef>
              <c:f>Luminance!$J$4:$J$13</c:f>
              <c:numCache>
                <c:formatCode>0.00</c:formatCode>
                <c:ptCount val="10"/>
                <c:pt idx="0">
                  <c:v>3.7693319508385232</c:v>
                </c:pt>
                <c:pt idx="1">
                  <c:v>3.7693319508385232</c:v>
                </c:pt>
              </c:numCache>
            </c:numRef>
          </c:val>
        </c:ser>
        <c:dLbls>
          <c:showLegendKey val="0"/>
          <c:showVal val="0"/>
          <c:showCatName val="0"/>
          <c:showSerName val="0"/>
          <c:showPercent val="0"/>
          <c:showBubbleSize val="0"/>
        </c:dLbls>
        <c:gapWidth val="150"/>
        <c:axId val="654253848"/>
        <c:axId val="654255416"/>
      </c:barChart>
      <c:catAx>
        <c:axId val="654253848"/>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654255416"/>
        <c:crosses val="autoZero"/>
        <c:auto val="1"/>
        <c:lblAlgn val="ctr"/>
        <c:lblOffset val="100"/>
        <c:noMultiLvlLbl val="0"/>
      </c:catAx>
      <c:valAx>
        <c:axId val="654255416"/>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53848"/>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2"/>
                <c:pt idx="0">
                  <c:v>ATB2_40B_LED_E70_XXXXX_R2.ies</c:v>
                </c:pt>
                <c:pt idx="1">
                  <c:v>ATB2_40B_LED_E70_XXXXX_R2.ies</c:v>
                </c:pt>
              </c:strCache>
            </c:strRef>
          </c:cat>
          <c:val>
            <c:numRef>
              <c:f>Illuminance!$J$4:$J$13</c:f>
              <c:numCache>
                <c:formatCode>0.00</c:formatCode>
                <c:ptCount val="10"/>
                <c:pt idx="0">
                  <c:v>6</c:v>
                </c:pt>
                <c:pt idx="1">
                  <c:v>6</c:v>
                </c:pt>
              </c:numCache>
            </c:numRef>
          </c:val>
        </c:ser>
        <c:dLbls>
          <c:showLegendKey val="0"/>
          <c:showVal val="0"/>
          <c:showCatName val="0"/>
          <c:showSerName val="0"/>
          <c:showPercent val="0"/>
          <c:showBubbleSize val="0"/>
        </c:dLbls>
        <c:gapWidth val="73"/>
        <c:axId val="654255808"/>
        <c:axId val="654251104"/>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Illuminance!$F$4:$F$13</c:f>
              <c:numCache>
                <c:formatCode>0.00</c:formatCode>
                <c:ptCount val="10"/>
                <c:pt idx="0">
                  <c:v>14.031504644948239</c:v>
                </c:pt>
                <c:pt idx="1">
                  <c:v>14.031504644948239</c:v>
                </c:pt>
              </c:numCache>
            </c:numRef>
          </c:val>
        </c:ser>
        <c:dLbls>
          <c:showLegendKey val="0"/>
          <c:showVal val="0"/>
          <c:showCatName val="0"/>
          <c:showSerName val="0"/>
          <c:showPercent val="0"/>
          <c:showBubbleSize val="0"/>
        </c:dLbls>
        <c:gapWidth val="208"/>
        <c:axId val="654246792"/>
        <c:axId val="654249144"/>
      </c:barChart>
      <c:catAx>
        <c:axId val="654255808"/>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654251104"/>
        <c:crosses val="autoZero"/>
        <c:auto val="0"/>
        <c:lblAlgn val="ctr"/>
        <c:lblOffset val="100"/>
        <c:noMultiLvlLbl val="0"/>
      </c:catAx>
      <c:valAx>
        <c:axId val="654251104"/>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55808"/>
        <c:crosses val="autoZero"/>
        <c:crossBetween val="between"/>
      </c:valAx>
      <c:catAx>
        <c:axId val="654246792"/>
        <c:scaling>
          <c:orientation val="minMax"/>
        </c:scaling>
        <c:delete val="1"/>
        <c:axPos val="b"/>
        <c:numFmt formatCode="General" sourceLinked="1"/>
        <c:majorTickMark val="out"/>
        <c:minorTickMark val="none"/>
        <c:tickLblPos val="nextTo"/>
        <c:crossAx val="654249144"/>
        <c:crosses val="autoZero"/>
        <c:auto val="1"/>
        <c:lblAlgn val="ctr"/>
        <c:lblOffset val="100"/>
        <c:noMultiLvlLbl val="0"/>
      </c:catAx>
      <c:valAx>
        <c:axId val="654249144"/>
        <c:scaling>
          <c:orientation val="minMax"/>
        </c:scaling>
        <c:delete val="1"/>
        <c:axPos val="r"/>
        <c:numFmt formatCode="0.00" sourceLinked="1"/>
        <c:majorTickMark val="out"/>
        <c:minorTickMark val="none"/>
        <c:tickLblPos val="nextTo"/>
        <c:crossAx val="654246792"/>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654248360"/>
        <c:axId val="654247184"/>
      </c:lineChart>
      <c:catAx>
        <c:axId val="65424836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47184"/>
        <c:crosses val="autoZero"/>
        <c:auto val="1"/>
        <c:lblAlgn val="ctr"/>
        <c:lblOffset val="100"/>
        <c:noMultiLvlLbl val="0"/>
      </c:catAx>
      <c:valAx>
        <c:axId val="654247184"/>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248360"/>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41" val="34"/>
</file>

<file path=xl/ctrlProps/ctrlProp3.xml><?xml version="1.0" encoding="utf-8"?>
<formControlPr xmlns="http://schemas.microsoft.com/office/spreadsheetml/2009/9/main" objectType="List" dx="22" fmlaLink="$C$16" fmlaRange="FixtureChoices" noThreeD="1" sel="22" val="0"/>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v1.7.6a</v>
      </c>
    </row>
    <row r="3" spans="1:18" s="126" customFormat="1" ht="24" customHeight="1">
      <c r="C3" s="127"/>
    </row>
    <row r="4" spans="1:18" ht="15.75" thickBot="1">
      <c r="A4" s="128"/>
    </row>
    <row r="5" spans="1:18" ht="15.75" customHeight="1" thickBot="1">
      <c r="B5" s="699" t="s">
        <v>363</v>
      </c>
      <c r="C5" s="700"/>
      <c r="D5" s="701"/>
      <c r="E5" s="702" t="s">
        <v>344</v>
      </c>
      <c r="F5" s="703"/>
      <c r="G5" s="704"/>
    </row>
    <row r="8" spans="1:18">
      <c r="B8" s="705" t="str">
        <f>Translation!B285</f>
        <v>SEAD Procurement Tool for Energy Efficient Street Lighting</v>
      </c>
      <c r="C8" s="706"/>
      <c r="D8" s="706"/>
      <c r="E8" s="706"/>
      <c r="F8" s="706"/>
      <c r="G8" s="706"/>
      <c r="H8" s="706"/>
      <c r="I8" s="706"/>
      <c r="J8" s="706"/>
      <c r="K8" s="706"/>
      <c r="L8" s="706"/>
      <c r="M8" s="706"/>
      <c r="N8" s="707"/>
    </row>
    <row r="9" spans="1:18" ht="72.75" customHeight="1">
      <c r="B9" s="708"/>
      <c r="C9" s="709"/>
      <c r="D9" s="709"/>
      <c r="E9" s="709"/>
      <c r="F9" s="709"/>
      <c r="G9" s="709"/>
      <c r="H9" s="709"/>
      <c r="I9" s="709"/>
      <c r="J9" s="709"/>
      <c r="K9" s="709"/>
      <c r="L9" s="709"/>
      <c r="M9" s="709"/>
      <c r="N9" s="710"/>
      <c r="R9" s="129" t="s">
        <v>1047</v>
      </c>
    </row>
    <row r="10" spans="1:18" ht="35.25" hidden="1" customHeight="1">
      <c r="B10" s="708" t="str">
        <f>Translation!B286</f>
        <v>Before you get started, please take some time to read the instructions located on the navigation worksheet .</v>
      </c>
      <c r="C10" s="709"/>
      <c r="D10" s="709"/>
      <c r="E10" s="709"/>
      <c r="F10" s="709"/>
      <c r="G10" s="709"/>
      <c r="H10" s="709"/>
      <c r="I10" s="709"/>
      <c r="J10" s="709"/>
      <c r="K10" s="709"/>
      <c r="L10" s="709"/>
      <c r="M10" s="709"/>
      <c r="N10" s="710"/>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696" t="str">
        <f>Translation!B315</f>
        <v>This tool and accompanying street lighting technology profile are available at www.superefficient.org</v>
      </c>
      <c r="C26" s="697"/>
      <c r="D26" s="697"/>
      <c r="E26" s="697"/>
      <c r="F26" s="697"/>
      <c r="G26" s="697"/>
      <c r="H26" s="697"/>
      <c r="I26" s="697"/>
      <c r="J26" s="697"/>
      <c r="K26" s="697"/>
      <c r="L26" s="697"/>
      <c r="M26" s="697"/>
      <c r="N26" s="698"/>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v1.7.6a</v>
      </c>
    </row>
    <row r="3" spans="2:24" s="71" customFormat="1" ht="31.5">
      <c r="C3" s="72" t="str">
        <f>Translation!B12</f>
        <v>BACKGROUND INFORMATION</v>
      </c>
    </row>
    <row r="4" spans="2:24" ht="44.25" customHeight="1">
      <c r="C4" s="344" t="s">
        <v>1153</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13"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13"/>
      <c r="F8" s="713"/>
      <c r="G8" s="713"/>
      <c r="H8" s="713"/>
      <c r="I8" s="713"/>
      <c r="J8" s="713"/>
      <c r="K8" s="713"/>
      <c r="L8" s="713"/>
      <c r="M8" s="713"/>
      <c r="N8" s="713"/>
      <c r="O8" s="713"/>
    </row>
    <row r="9" spans="2:24" ht="36.75" customHeight="1">
      <c r="E9" s="716" t="str">
        <f>Translation!B31</f>
        <v>- The tool is designed to be simple to use, requiring little prior knowledge. Follow the steps, and look out for popup boxes and "?" links for additional information</v>
      </c>
      <c r="F9" s="716"/>
      <c r="G9" s="716"/>
      <c r="H9" s="716"/>
      <c r="I9" s="716"/>
      <c r="J9" s="716"/>
      <c r="K9" s="716"/>
      <c r="L9" s="716"/>
      <c r="M9" s="716"/>
      <c r="N9" s="716"/>
      <c r="O9" s="716"/>
    </row>
    <row r="10" spans="2:24" ht="57" customHeight="1">
      <c r="E10" s="716"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16"/>
      <c r="G10" s="716"/>
      <c r="H10" s="716"/>
      <c r="I10" s="716"/>
      <c r="J10" s="716"/>
      <c r="K10" s="716"/>
      <c r="L10" s="716"/>
      <c r="M10" s="716"/>
      <c r="N10" s="716"/>
      <c r="O10" s="716"/>
    </row>
    <row r="11" spans="2:24" ht="94.5" customHeight="1">
      <c r="E11" s="716"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16"/>
      <c r="G11" s="716"/>
      <c r="H11" s="716"/>
      <c r="I11" s="716"/>
      <c r="J11" s="716"/>
      <c r="K11" s="716"/>
      <c r="L11" s="716"/>
      <c r="M11" s="716"/>
      <c r="N11" s="716"/>
      <c r="O11" s="716"/>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13" t="str">
        <f>Translation!B72</f>
        <v>The inputs tab gives you access to all required inputs, as well as navigation to all the other tabs relevant to the user. Start here, and if you get lost come back here and find the appropriate step.</v>
      </c>
      <c r="E18" s="713"/>
      <c r="F18" s="713"/>
      <c r="G18" s="713"/>
      <c r="H18" s="713"/>
      <c r="I18" s="713"/>
      <c r="J18" s="713"/>
      <c r="K18" s="713"/>
      <c r="L18" s="713"/>
      <c r="M18" s="713"/>
      <c r="N18" s="713"/>
      <c r="O18" s="713"/>
    </row>
    <row r="19" spans="4:15">
      <c r="D19" s="74" t="str">
        <f>Translation!B48</f>
        <v xml:space="preserve">For a description of the other tabs and what they contain go here: </v>
      </c>
    </row>
    <row r="20" spans="4:15">
      <c r="D20" s="74"/>
    </row>
    <row r="21" spans="4:15">
      <c r="D21" s="714" t="str">
        <f>Translation!B70</f>
        <v>Tab Descriptions</v>
      </c>
      <c r="E21" s="715"/>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17" t="str">
        <f>Translation!B28</f>
        <v>Single Fixture</v>
      </c>
      <c r="E34" s="718"/>
    </row>
    <row r="35" spans="3:22" ht="15" customHeight="1">
      <c r="D35" s="717" t="str">
        <f>Translation!B61</f>
        <v>Retrofit - basic</v>
      </c>
      <c r="E35" s="718"/>
    </row>
    <row r="36" spans="3:22" ht="15" customHeight="1">
      <c r="D36" s="717" t="str">
        <f>Translation!B63</f>
        <v>Retrofit - detailed</v>
      </c>
      <c r="E36" s="718"/>
    </row>
    <row r="37" spans="3:22" ht="15" customHeight="1">
      <c r="D37" s="717" t="str">
        <f>Translation!B57</f>
        <v>New installation</v>
      </c>
      <c r="E37" s="718"/>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12" t="str">
        <f>Translation!B59</f>
        <v>Not all tabs are needed by the user, but all tabs are left open so that you can see how calculations are performed if needed. Here's a description of all the tabs in the tool:</v>
      </c>
      <c r="D55" s="712"/>
      <c r="E55" s="712"/>
      <c r="F55" s="712"/>
      <c r="G55" s="712"/>
      <c r="H55" s="712"/>
      <c r="I55" s="712"/>
      <c r="J55" s="712"/>
      <c r="K55" s="712"/>
      <c r="L55" s="712"/>
      <c r="M55" s="712"/>
      <c r="N55" s="712"/>
      <c r="O55" s="712"/>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11"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11"/>
      <c r="E73" s="711"/>
      <c r="F73" s="711"/>
      <c r="G73" s="711"/>
      <c r="H73" s="711"/>
      <c r="I73" s="711"/>
      <c r="J73" s="711"/>
      <c r="K73" s="711"/>
      <c r="L73" s="711"/>
      <c r="M73" s="711"/>
      <c r="N73" s="711"/>
      <c r="O73" s="711"/>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11"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11"/>
      <c r="E77" s="711"/>
      <c r="F77" s="711"/>
      <c r="G77" s="711"/>
      <c r="H77" s="711"/>
      <c r="I77" s="711"/>
      <c r="J77" s="711"/>
      <c r="K77" s="711"/>
      <c r="L77" s="711"/>
      <c r="M77" s="711"/>
      <c r="N77" s="711"/>
      <c r="O77" s="711"/>
    </row>
    <row r="78" spans="3:22" ht="15" customHeight="1">
      <c r="C78" s="96" t="s">
        <v>225</v>
      </c>
      <c r="D78" s="711" t="str">
        <f>Translation!B45</f>
        <v xml:space="preserve">Follow steps 1-5 on the inputs page to define your current configuration, desired target light levels, and relevant costs </v>
      </c>
      <c r="E78" s="711"/>
      <c r="F78" s="711"/>
      <c r="G78" s="711"/>
      <c r="H78" s="711"/>
      <c r="I78" s="711"/>
      <c r="J78" s="711"/>
      <c r="K78" s="711"/>
      <c r="L78" s="711"/>
      <c r="M78" s="711"/>
      <c r="N78" s="711"/>
      <c r="O78" s="711"/>
    </row>
    <row r="79" spans="3:22" ht="15" customHeight="1">
      <c r="C79" s="96" t="s">
        <v>226</v>
      </c>
      <c r="D79" s="711" t="str">
        <f>Translation!B81</f>
        <v xml:space="preserve">When choosing the upgrade fixture in Step 3, choose 'Multiple Fixtures' option and select some or all of the generic typical fixtures </v>
      </c>
      <c r="E79" s="711"/>
      <c r="F79" s="711"/>
      <c r="G79" s="711"/>
      <c r="H79" s="711"/>
      <c r="I79" s="711"/>
      <c r="J79" s="711"/>
      <c r="K79" s="711"/>
      <c r="L79" s="711"/>
      <c r="M79" s="711"/>
      <c r="N79" s="711"/>
      <c r="O79" s="711"/>
    </row>
    <row r="80" spans="3:22" ht="15" customHeight="1">
      <c r="C80" s="96" t="s">
        <v>227</v>
      </c>
      <c r="D80" s="711" t="str">
        <f>Translation!B73</f>
        <v xml:space="preserve">The MGraphs page will show you which fixtures pass and fail your illuminance criteria for the given road geometry, ranked in order of lowest to highest energy consumption. </v>
      </c>
      <c r="E80" s="711"/>
      <c r="F80" s="711"/>
      <c r="G80" s="711"/>
      <c r="H80" s="711"/>
      <c r="I80" s="711"/>
      <c r="J80" s="711"/>
      <c r="K80" s="711"/>
      <c r="L80" s="711"/>
      <c r="M80" s="711"/>
      <c r="N80" s="711"/>
      <c r="O80" s="711"/>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11"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11"/>
      <c r="E86" s="711"/>
      <c r="F86" s="711"/>
      <c r="G86" s="711"/>
      <c r="H86" s="711"/>
      <c r="I86" s="711"/>
      <c r="J86" s="711"/>
      <c r="K86" s="711"/>
      <c r="L86" s="711"/>
      <c r="M86" s="711"/>
      <c r="N86" s="711"/>
      <c r="O86" s="711"/>
      <c r="P86" s="96"/>
      <c r="Q86" s="96"/>
      <c r="R86" s="96"/>
      <c r="S86" s="96"/>
      <c r="T86" s="96"/>
      <c r="U86" s="96"/>
      <c r="V86" s="96"/>
    </row>
    <row r="87" spans="3:22" ht="15" customHeight="1">
      <c r="C87" s="96" t="s">
        <v>225</v>
      </c>
      <c r="D87" s="711" t="str">
        <f>Translation!B41</f>
        <v xml:space="preserve">Contact the manufacturer or visit their website to download the electronic IES files for the fixtures you're considering </v>
      </c>
      <c r="E87" s="711"/>
      <c r="F87" s="711"/>
      <c r="G87" s="711"/>
      <c r="H87" s="711"/>
      <c r="I87" s="711"/>
      <c r="J87" s="711"/>
      <c r="K87" s="711"/>
      <c r="L87" s="711"/>
      <c r="M87" s="711"/>
      <c r="N87" s="711"/>
      <c r="O87" s="711"/>
      <c r="P87" s="96"/>
      <c r="Q87" s="96"/>
      <c r="R87" s="96"/>
      <c r="S87" s="96"/>
      <c r="T87" s="96"/>
      <c r="U87" s="96"/>
      <c r="V87" s="96"/>
    </row>
    <row r="88" spans="3:22" ht="15" customHeight="1">
      <c r="C88" s="96" t="s">
        <v>226</v>
      </c>
      <c r="D88" s="711" t="str">
        <f>Translation!B79</f>
        <v xml:space="preserve">Use the Add IES file button in step 3 to add this data to the tool. Be sure to check default values for fixture life, cost, and lumen depreciation in the Fixtures tab and make sure they are appropriate for your fixture </v>
      </c>
      <c r="E88" s="711"/>
      <c r="F88" s="711"/>
      <c r="G88" s="711"/>
      <c r="H88" s="711"/>
      <c r="I88" s="711"/>
      <c r="J88" s="711"/>
      <c r="K88" s="711"/>
      <c r="L88" s="711"/>
      <c r="M88" s="711"/>
      <c r="N88" s="711"/>
      <c r="O88" s="711"/>
    </row>
    <row r="89" spans="3:22" ht="15" customHeight="1">
      <c r="C89" s="96" t="s">
        <v>227</v>
      </c>
      <c r="D89" s="711" t="str">
        <f>Translation!B46</f>
        <v xml:space="preserve">Follow steps 1-5 to define your road configuration, desired target light levels, and relavant costs </v>
      </c>
      <c r="E89" s="711"/>
      <c r="F89" s="711"/>
      <c r="G89" s="711"/>
      <c r="H89" s="711"/>
      <c r="I89" s="711"/>
      <c r="J89" s="711"/>
      <c r="K89" s="711"/>
      <c r="L89" s="711"/>
      <c r="M89" s="711"/>
      <c r="N89" s="711"/>
      <c r="O89" s="711"/>
    </row>
    <row r="90" spans="3:22" ht="32.25" customHeight="1">
      <c r="C90" s="96" t="s">
        <v>228</v>
      </c>
      <c r="D90" s="711" t="str">
        <f>Translation!B81</f>
        <v xml:space="preserve">When choosing the upgrade fixture in Step 3, choose 'Multiple Fixtures' option and select some or all of the generic typical fixtures </v>
      </c>
      <c r="E90" s="711"/>
      <c r="F90" s="711"/>
      <c r="G90" s="711"/>
      <c r="H90" s="711"/>
      <c r="I90" s="711"/>
      <c r="J90" s="711"/>
      <c r="K90" s="711"/>
      <c r="L90" s="711"/>
      <c r="M90" s="711"/>
      <c r="N90" s="711"/>
      <c r="O90" s="711"/>
    </row>
    <row r="91" spans="3:22" ht="15" customHeight="1">
      <c r="C91" s="96" t="s">
        <v>229</v>
      </c>
      <c r="D91" s="711" t="str">
        <f>Translation!B73</f>
        <v xml:space="preserve">The MGraphs page will show you which fixtures pass and fail your illuminance criteria for the given road geometry, ranked in order of lowest to highest energy consumption. </v>
      </c>
      <c r="E91" s="711"/>
      <c r="F91" s="711"/>
      <c r="G91" s="711"/>
      <c r="H91" s="711"/>
      <c r="I91" s="711"/>
      <c r="J91" s="711"/>
      <c r="K91" s="711"/>
      <c r="L91" s="711"/>
      <c r="M91" s="711"/>
      <c r="N91" s="711"/>
      <c r="O91" s="711"/>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11"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11"/>
      <c r="E96" s="711"/>
      <c r="F96" s="711"/>
      <c r="G96" s="711"/>
      <c r="H96" s="711"/>
      <c r="I96" s="711"/>
      <c r="J96" s="711"/>
      <c r="K96" s="711"/>
      <c r="L96" s="711"/>
      <c r="M96" s="711"/>
      <c r="N96" s="711"/>
      <c r="O96" s="711"/>
    </row>
    <row r="97" spans="3:15" ht="15" customHeight="1">
      <c r="C97" s="96" t="s">
        <v>225</v>
      </c>
      <c r="D97" s="711" t="str">
        <f>Translation!B47</f>
        <v xml:space="preserve">Follow steps 1-5, choosing the appropriate comparison type of single fixture or multiple fixtures in step 3 </v>
      </c>
      <c r="E97" s="711"/>
      <c r="F97" s="711"/>
      <c r="G97" s="711"/>
      <c r="H97" s="711"/>
      <c r="I97" s="711"/>
      <c r="J97" s="711"/>
      <c r="K97" s="711"/>
      <c r="L97" s="711"/>
      <c r="M97" s="711"/>
      <c r="N97" s="711"/>
      <c r="O97" s="711"/>
    </row>
    <row r="98" spans="3:15" ht="15" customHeight="1">
      <c r="C98" s="96" t="s">
        <v>226</v>
      </c>
      <c r="D98" s="711" t="str">
        <f>Translation!B71</f>
        <v xml:space="preserve">The 'baseline' scenario can be ignored, or you can use the 'No fixture' fixture choice to set energy consumption of the baseline shown in the graphs to zero </v>
      </c>
      <c r="E98" s="711"/>
      <c r="F98" s="711"/>
      <c r="G98" s="711"/>
      <c r="H98" s="711"/>
      <c r="I98" s="711"/>
      <c r="J98" s="711"/>
      <c r="K98" s="711"/>
      <c r="L98" s="711"/>
      <c r="M98" s="711"/>
      <c r="N98" s="711"/>
      <c r="O98" s="711"/>
    </row>
    <row r="99" spans="3:15" ht="15" customHeight="1">
      <c r="C99" s="96" t="s">
        <v>227</v>
      </c>
      <c r="D99" s="711" t="str">
        <f>Translation!B50</f>
        <v xml:space="preserve">If only analyzing a single fixture, use the "Save Single Upgrade" button to save the scenario to the MResults tab. If analyzing multiple fixtures, the fixtures will be saved when you click 'Run Selected Fixtures' </v>
      </c>
      <c r="E99" s="711"/>
      <c r="F99" s="711"/>
      <c r="G99" s="711"/>
      <c r="H99" s="711"/>
      <c r="I99" s="711"/>
      <c r="J99" s="711"/>
      <c r="K99" s="711"/>
      <c r="L99" s="711"/>
      <c r="M99" s="711"/>
      <c r="N99" s="711"/>
      <c r="O99" s="711"/>
    </row>
    <row r="100" spans="3:15" ht="15" customHeight="1">
      <c r="C100" s="96" t="s">
        <v>228</v>
      </c>
      <c r="D100" s="711" t="str">
        <f>Translation!B76</f>
        <v xml:space="preserve">To compare additional scenarios , after saving the results you may change the inputs for the other steps and save the new results </v>
      </c>
      <c r="E100" s="711"/>
      <c r="F100" s="711"/>
      <c r="G100" s="711"/>
      <c r="H100" s="711"/>
      <c r="I100" s="711"/>
      <c r="J100" s="711"/>
      <c r="K100" s="711"/>
      <c r="L100" s="711"/>
      <c r="M100" s="711"/>
      <c r="N100" s="711"/>
      <c r="O100" s="711"/>
    </row>
    <row r="101" spans="3:15" ht="15" customHeight="1">
      <c r="C101" s="96" t="s">
        <v>229</v>
      </c>
      <c r="D101" s="711" t="str">
        <f>Translation!B37</f>
        <v xml:space="preserve">All results will be archived to the MResults tab, and show up in MGraphs.  </v>
      </c>
      <c r="E101" s="711"/>
      <c r="F101" s="711"/>
      <c r="G101" s="711"/>
      <c r="H101" s="711"/>
      <c r="I101" s="711"/>
      <c r="J101" s="711"/>
      <c r="K101" s="711"/>
      <c r="L101" s="711"/>
      <c r="M101" s="711"/>
      <c r="N101" s="711"/>
      <c r="O101" s="711"/>
    </row>
    <row r="102" spans="3:15" ht="15" customHeight="1">
      <c r="C102" s="96" t="s">
        <v>230</v>
      </c>
      <c r="D102" s="711"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11"/>
      <c r="F102" s="711"/>
      <c r="G102" s="711"/>
      <c r="H102" s="711"/>
      <c r="I102" s="711"/>
      <c r="J102" s="711"/>
      <c r="K102" s="711"/>
      <c r="L102" s="711"/>
      <c r="M102" s="711"/>
      <c r="N102" s="711"/>
      <c r="O102" s="711"/>
    </row>
  </sheetData>
  <mergeCells count="29">
    <mergeCell ref="D102:O102"/>
    <mergeCell ref="D78:O78"/>
    <mergeCell ref="D79:O79"/>
    <mergeCell ref="D80:O80"/>
    <mergeCell ref="D87:O87"/>
    <mergeCell ref="D88:O88"/>
    <mergeCell ref="D89:O89"/>
    <mergeCell ref="D90:O90"/>
    <mergeCell ref="D98:O98"/>
    <mergeCell ref="D101:O101"/>
    <mergeCell ref="C86:O86"/>
    <mergeCell ref="D100:O100"/>
    <mergeCell ref="C55:O55"/>
    <mergeCell ref="D18:O18"/>
    <mergeCell ref="D21:E21"/>
    <mergeCell ref="D8:O8"/>
    <mergeCell ref="E9:O9"/>
    <mergeCell ref="E10:O10"/>
    <mergeCell ref="E11:O11"/>
    <mergeCell ref="D37:E37"/>
    <mergeCell ref="D36:E36"/>
    <mergeCell ref="D35:E35"/>
    <mergeCell ref="D34:E34"/>
    <mergeCell ref="C73:O73"/>
    <mergeCell ref="C77:O77"/>
    <mergeCell ref="D99:O99"/>
    <mergeCell ref="D97:O97"/>
    <mergeCell ref="C96:O96"/>
    <mergeCell ref="D91:O9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v1.7.6a</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323</v>
      </c>
      <c r="E17" s="141">
        <v>3.5</v>
      </c>
      <c r="F17" s="141">
        <v>4</v>
      </c>
    </row>
    <row r="18" spans="2:10">
      <c r="B18" s="139" t="str">
        <f>Translation!B264</f>
        <v>Pole Spacing</v>
      </c>
      <c r="C18" s="140" t="str">
        <f t="shared" ca="1" si="0"/>
        <v>45 meters</v>
      </c>
      <c r="D18" s="141" t="s">
        <v>318</v>
      </c>
      <c r="E18" s="141" t="s">
        <v>366</v>
      </c>
      <c r="F18" s="141" t="s">
        <v>366</v>
      </c>
    </row>
    <row r="19" spans="2:10">
      <c r="B19" s="139" t="str">
        <f>Translation!B131</f>
        <v>Luminaire Mounting Height</v>
      </c>
      <c r="C19" s="140" t="str">
        <f t="shared" ca="1" si="0"/>
        <v>9 meters</v>
      </c>
      <c r="D19" s="141" t="s">
        <v>319</v>
      </c>
      <c r="E19" s="141" t="s">
        <v>319</v>
      </c>
      <c r="F19" s="141" t="s">
        <v>372</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369</v>
      </c>
    </row>
    <row r="21" spans="2:10">
      <c r="B21" s="139" t="s">
        <v>322</v>
      </c>
      <c r="C21" s="140" t="str">
        <f t="shared" ca="1" si="0"/>
        <v>R3</v>
      </c>
      <c r="D21" s="141" t="s">
        <v>208</v>
      </c>
      <c r="E21" s="141" t="s">
        <v>208</v>
      </c>
      <c r="F21" s="141" t="s">
        <v>208</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320</v>
      </c>
      <c r="E32" s="155" t="s">
        <v>367</v>
      </c>
      <c r="F32" s="156" t="s">
        <v>369</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208</v>
      </c>
      <c r="E45" s="180" t="s">
        <v>208</v>
      </c>
      <c r="F45" s="180" t="s">
        <v>208</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59</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209</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407</v>
      </c>
      <c r="C67" t="s">
        <v>513</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320</v>
      </c>
      <c r="AN67">
        <v>9</v>
      </c>
      <c r="AO67">
        <v>30</v>
      </c>
      <c r="AP67">
        <v>3</v>
      </c>
      <c r="AQ67">
        <v>4</v>
      </c>
      <c r="AR67">
        <v>10</v>
      </c>
      <c r="AS67" t="e">
        <v>#N/A</v>
      </c>
    </row>
    <row r="68" spans="1:46" customFormat="1">
      <c r="A68">
        <v>1.5</v>
      </c>
      <c r="B68" t="s">
        <v>408</v>
      </c>
      <c r="C68" t="s">
        <v>514</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320</v>
      </c>
      <c r="AN68">
        <v>9</v>
      </c>
      <c r="AO68">
        <v>30</v>
      </c>
      <c r="AP68">
        <v>3</v>
      </c>
      <c r="AQ68">
        <v>4</v>
      </c>
      <c r="AR68">
        <v>10</v>
      </c>
      <c r="AS68" t="e">
        <v>#N/A</v>
      </c>
    </row>
    <row r="69" spans="1:46" customFormat="1">
      <c r="A69">
        <v>2.5</v>
      </c>
      <c r="B69" t="s">
        <v>409</v>
      </c>
      <c r="C69" t="s">
        <v>515</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320</v>
      </c>
      <c r="AN69">
        <v>9</v>
      </c>
      <c r="AO69">
        <v>30</v>
      </c>
      <c r="AP69">
        <v>3</v>
      </c>
      <c r="AQ69">
        <v>4</v>
      </c>
      <c r="AR69">
        <v>10</v>
      </c>
      <c r="AS69" t="e">
        <v>#N/A</v>
      </c>
    </row>
    <row r="70" spans="1:46" customFormat="1">
      <c r="A70">
        <v>3.5</v>
      </c>
      <c r="B70" t="s">
        <v>382</v>
      </c>
      <c r="C70" t="s">
        <v>550</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320</v>
      </c>
      <c r="AN70">
        <v>9</v>
      </c>
      <c r="AO70">
        <v>30</v>
      </c>
      <c r="AP70">
        <v>3</v>
      </c>
      <c r="AQ70">
        <v>4</v>
      </c>
      <c r="AR70">
        <v>10</v>
      </c>
      <c r="AS70" t="e">
        <v>#N/A</v>
      </c>
    </row>
    <row r="71" spans="1:46" customFormat="1">
      <c r="A71">
        <v>4.5</v>
      </c>
      <c r="B71" t="s">
        <v>410</v>
      </c>
      <c r="C71" t="s">
        <v>516</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320</v>
      </c>
      <c r="AN71">
        <v>9</v>
      </c>
      <c r="AO71">
        <v>30</v>
      </c>
      <c r="AP71">
        <v>3</v>
      </c>
      <c r="AQ71">
        <v>4</v>
      </c>
      <c r="AR71">
        <v>10</v>
      </c>
      <c r="AS71" t="e">
        <v>#N/A</v>
      </c>
    </row>
    <row r="72" spans="1:46" customFormat="1">
      <c r="A72">
        <v>5.5</v>
      </c>
      <c r="B72" t="s">
        <v>411</v>
      </c>
      <c r="C72" t="s">
        <v>517</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320</v>
      </c>
      <c r="AN72">
        <v>9</v>
      </c>
      <c r="AO72">
        <v>30</v>
      </c>
      <c r="AP72">
        <v>3</v>
      </c>
      <c r="AQ72">
        <v>4</v>
      </c>
      <c r="AR72">
        <v>10</v>
      </c>
      <c r="AS72" t="e">
        <v>#N/A</v>
      </c>
    </row>
    <row r="73" spans="1:46" customFormat="1">
      <c r="A73">
        <v>6.5</v>
      </c>
      <c r="B73" t="s">
        <v>395</v>
      </c>
      <c r="C73" t="s">
        <v>563</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320</v>
      </c>
      <c r="AN73">
        <v>9</v>
      </c>
      <c r="AO73">
        <v>30</v>
      </c>
      <c r="AP73">
        <v>3</v>
      </c>
      <c r="AQ73">
        <v>4</v>
      </c>
      <c r="AR73">
        <v>10</v>
      </c>
      <c r="AS73" t="e">
        <v>#N/A</v>
      </c>
    </row>
    <row r="74" spans="1:46" customFormat="1">
      <c r="A74">
        <v>7.5</v>
      </c>
      <c r="B74" t="s">
        <v>396</v>
      </c>
      <c r="C74" t="s">
        <v>564</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320</v>
      </c>
      <c r="AN74">
        <v>9</v>
      </c>
      <c r="AO74">
        <v>30</v>
      </c>
      <c r="AP74">
        <v>3</v>
      </c>
      <c r="AQ74">
        <v>4</v>
      </c>
      <c r="AR74">
        <v>10</v>
      </c>
      <c r="AS74" t="e">
        <v>#N/A</v>
      </c>
    </row>
    <row r="75" spans="1:46" customFormat="1">
      <c r="A75">
        <v>8.5</v>
      </c>
      <c r="B75" t="s">
        <v>412</v>
      </c>
      <c r="C75" t="s">
        <v>518</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320</v>
      </c>
      <c r="AN75">
        <v>9</v>
      </c>
      <c r="AO75">
        <v>30</v>
      </c>
      <c r="AP75">
        <v>3</v>
      </c>
      <c r="AQ75">
        <v>4</v>
      </c>
      <c r="AR75">
        <v>10</v>
      </c>
      <c r="AS75" t="e">
        <v>#N/A</v>
      </c>
    </row>
    <row r="76" spans="1:46" customFormat="1">
      <c r="A76">
        <v>9.5</v>
      </c>
      <c r="B76" t="s">
        <v>383</v>
      </c>
      <c r="C76" t="s">
        <v>551</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320</v>
      </c>
      <c r="AN76">
        <v>9</v>
      </c>
      <c r="AO76">
        <v>30</v>
      </c>
      <c r="AP76">
        <v>3</v>
      </c>
      <c r="AQ76">
        <v>4</v>
      </c>
      <c r="AR76">
        <v>10</v>
      </c>
      <c r="AS76" t="e">
        <v>#N/A</v>
      </c>
    </row>
    <row r="77" spans="1:46" customFormat="1">
      <c r="A77">
        <v>10.5</v>
      </c>
      <c r="B77" t="s">
        <v>413</v>
      </c>
      <c r="C77" t="s">
        <v>519</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320</v>
      </c>
      <c r="AN77">
        <v>9</v>
      </c>
      <c r="AO77">
        <v>30</v>
      </c>
      <c r="AP77">
        <v>3</v>
      </c>
      <c r="AQ77">
        <v>4</v>
      </c>
      <c r="AR77">
        <v>10</v>
      </c>
      <c r="AS77" t="e">
        <v>#N/A</v>
      </c>
    </row>
    <row r="78" spans="1:46" customFormat="1">
      <c r="A78">
        <v>11.5</v>
      </c>
      <c r="B78" t="s">
        <v>384</v>
      </c>
      <c r="C78" t="s">
        <v>552</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320</v>
      </c>
      <c r="AN78">
        <v>9</v>
      </c>
      <c r="AO78">
        <v>30</v>
      </c>
      <c r="AP78">
        <v>3</v>
      </c>
      <c r="AQ78">
        <v>4</v>
      </c>
      <c r="AR78">
        <v>10</v>
      </c>
      <c r="AS78" t="e">
        <v>#N/A</v>
      </c>
    </row>
    <row r="79" spans="1:46" customFormat="1">
      <c r="A79">
        <v>12.5</v>
      </c>
      <c r="B79" t="s">
        <v>386</v>
      </c>
      <c r="C79" t="s">
        <v>554</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320</v>
      </c>
      <c r="AN79">
        <v>9</v>
      </c>
      <c r="AO79">
        <v>30</v>
      </c>
      <c r="AP79">
        <v>3</v>
      </c>
      <c r="AQ79">
        <v>4</v>
      </c>
      <c r="AR79">
        <v>10</v>
      </c>
      <c r="AS79" t="e">
        <v>#N/A</v>
      </c>
    </row>
    <row r="80" spans="1:46" customFormat="1">
      <c r="A80">
        <v>13.5</v>
      </c>
      <c r="B80" t="s">
        <v>397</v>
      </c>
      <c r="C80" t="s">
        <v>565</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320</v>
      </c>
      <c r="AN80">
        <v>9</v>
      </c>
      <c r="AO80">
        <v>30</v>
      </c>
      <c r="AP80">
        <v>3</v>
      </c>
      <c r="AQ80">
        <v>4</v>
      </c>
      <c r="AR80">
        <v>10</v>
      </c>
      <c r="AS80" t="e">
        <v>#N/A</v>
      </c>
    </row>
    <row r="81" spans="1:45" customFormat="1">
      <c r="A81">
        <v>14.5</v>
      </c>
      <c r="B81" t="s">
        <v>398</v>
      </c>
      <c r="C81" t="s">
        <v>566</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320</v>
      </c>
      <c r="AN81">
        <v>9</v>
      </c>
      <c r="AO81">
        <v>30</v>
      </c>
      <c r="AP81">
        <v>3</v>
      </c>
      <c r="AQ81">
        <v>4</v>
      </c>
      <c r="AR81">
        <v>10</v>
      </c>
      <c r="AS81" t="e">
        <v>#N/A</v>
      </c>
    </row>
    <row r="82" spans="1:45" customFormat="1">
      <c r="A82">
        <v>15.5</v>
      </c>
      <c r="B82" t="s">
        <v>403</v>
      </c>
      <c r="C82" t="s">
        <v>571</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320</v>
      </c>
      <c r="AN82">
        <v>9</v>
      </c>
      <c r="AO82">
        <v>30</v>
      </c>
      <c r="AP82">
        <v>3</v>
      </c>
      <c r="AQ82">
        <v>4</v>
      </c>
      <c r="AR82">
        <v>10</v>
      </c>
      <c r="AS82" t="e">
        <v>#N/A</v>
      </c>
    </row>
    <row r="83" spans="1:45" customFormat="1">
      <c r="A83">
        <v>16.5</v>
      </c>
      <c r="B83" t="s">
        <v>387</v>
      </c>
      <c r="C83" t="s">
        <v>555</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320</v>
      </c>
      <c r="AN83">
        <v>9</v>
      </c>
      <c r="AO83">
        <v>30</v>
      </c>
      <c r="AP83">
        <v>3</v>
      </c>
      <c r="AQ83">
        <v>4</v>
      </c>
      <c r="AR83">
        <v>10</v>
      </c>
      <c r="AS83" t="e">
        <v>#N/A</v>
      </c>
    </row>
    <row r="84" spans="1:45" customFormat="1">
      <c r="A84">
        <v>17.5</v>
      </c>
      <c r="B84" t="s">
        <v>399</v>
      </c>
      <c r="C84" t="s">
        <v>567</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320</v>
      </c>
      <c r="AN84">
        <v>9</v>
      </c>
      <c r="AO84">
        <v>30</v>
      </c>
      <c r="AP84">
        <v>3</v>
      </c>
      <c r="AQ84">
        <v>4</v>
      </c>
      <c r="AR84">
        <v>10</v>
      </c>
      <c r="AS84" t="e">
        <v>#N/A</v>
      </c>
    </row>
    <row r="85" spans="1:45" customFormat="1">
      <c r="A85">
        <v>18.5</v>
      </c>
      <c r="B85" t="s">
        <v>400</v>
      </c>
      <c r="C85" t="s">
        <v>568</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320</v>
      </c>
      <c r="AN85">
        <v>9</v>
      </c>
      <c r="AO85">
        <v>30</v>
      </c>
      <c r="AP85">
        <v>3</v>
      </c>
      <c r="AQ85">
        <v>4</v>
      </c>
      <c r="AR85">
        <v>10</v>
      </c>
      <c r="AS85" t="e">
        <v>#N/A</v>
      </c>
    </row>
    <row r="86" spans="1:45" customFormat="1">
      <c r="A86">
        <v>19.5</v>
      </c>
      <c r="B86" t="s">
        <v>388</v>
      </c>
      <c r="C86" t="s">
        <v>556</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320</v>
      </c>
      <c r="AN86">
        <v>9</v>
      </c>
      <c r="AO86">
        <v>30</v>
      </c>
      <c r="AP86">
        <v>3</v>
      </c>
      <c r="AQ86">
        <v>4</v>
      </c>
      <c r="AR86">
        <v>10</v>
      </c>
      <c r="AS86" t="e">
        <v>#N/A</v>
      </c>
    </row>
    <row r="87" spans="1:45" customFormat="1">
      <c r="A87">
        <v>20.5</v>
      </c>
      <c r="B87" t="s">
        <v>385</v>
      </c>
      <c r="C87" t="s">
        <v>553</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320</v>
      </c>
      <c r="AN87">
        <v>9</v>
      </c>
      <c r="AO87">
        <v>30</v>
      </c>
      <c r="AP87">
        <v>3</v>
      </c>
      <c r="AQ87">
        <v>4</v>
      </c>
      <c r="AR87">
        <v>10</v>
      </c>
      <c r="AS87" t="e">
        <v>#N/A</v>
      </c>
    </row>
    <row r="88" spans="1:45" customFormat="1">
      <c r="A88">
        <v>21.5</v>
      </c>
      <c r="B88" t="s">
        <v>414</v>
      </c>
      <c r="C88" t="s">
        <v>520</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320</v>
      </c>
      <c r="AN88">
        <v>9</v>
      </c>
      <c r="AO88">
        <v>30</v>
      </c>
      <c r="AP88">
        <v>3</v>
      </c>
      <c r="AQ88">
        <v>4</v>
      </c>
      <c r="AR88">
        <v>10</v>
      </c>
      <c r="AS88" t="e">
        <v>#N/A</v>
      </c>
    </row>
    <row r="89" spans="1:45" customFormat="1">
      <c r="A89">
        <v>22.5</v>
      </c>
      <c r="B89" t="s">
        <v>415</v>
      </c>
      <c r="C89" t="s">
        <v>521</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320</v>
      </c>
      <c r="AN89">
        <v>9</v>
      </c>
      <c r="AO89">
        <v>30</v>
      </c>
      <c r="AP89">
        <v>3</v>
      </c>
      <c r="AQ89">
        <v>4</v>
      </c>
      <c r="AR89">
        <v>10</v>
      </c>
      <c r="AS89" t="e">
        <v>#N/A</v>
      </c>
    </row>
    <row r="90" spans="1:45" customFormat="1">
      <c r="A90">
        <v>23.5</v>
      </c>
      <c r="B90" t="s">
        <v>402</v>
      </c>
      <c r="C90" t="s">
        <v>570</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320</v>
      </c>
      <c r="AN90">
        <v>9</v>
      </c>
      <c r="AO90">
        <v>30</v>
      </c>
      <c r="AP90">
        <v>3</v>
      </c>
      <c r="AQ90">
        <v>4</v>
      </c>
      <c r="AR90">
        <v>10</v>
      </c>
      <c r="AS90" t="e">
        <v>#N/A</v>
      </c>
    </row>
    <row r="91" spans="1:45" customFormat="1">
      <c r="A91">
        <v>24.5</v>
      </c>
      <c r="B91" t="s">
        <v>416</v>
      </c>
      <c r="C91" t="s">
        <v>522</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320</v>
      </c>
      <c r="AN91">
        <v>9</v>
      </c>
      <c r="AO91">
        <v>30</v>
      </c>
      <c r="AP91">
        <v>3</v>
      </c>
      <c r="AQ91">
        <v>4</v>
      </c>
      <c r="AR91">
        <v>10</v>
      </c>
      <c r="AS91" t="e">
        <v>#N/A</v>
      </c>
    </row>
    <row r="92" spans="1:45" customFormat="1">
      <c r="A92">
        <v>25.5</v>
      </c>
      <c r="B92" t="s">
        <v>417</v>
      </c>
      <c r="C92" t="s">
        <v>523</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320</v>
      </c>
      <c r="AN92">
        <v>9</v>
      </c>
      <c r="AO92">
        <v>30</v>
      </c>
      <c r="AP92">
        <v>3</v>
      </c>
      <c r="AQ92">
        <v>4</v>
      </c>
      <c r="AR92">
        <v>10</v>
      </c>
      <c r="AS92" t="e">
        <v>#N/A</v>
      </c>
    </row>
    <row r="93" spans="1:45" customFormat="1">
      <c r="A93">
        <v>26.5</v>
      </c>
      <c r="B93" t="s">
        <v>418</v>
      </c>
      <c r="C93" t="s">
        <v>524</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320</v>
      </c>
      <c r="AN93">
        <v>9</v>
      </c>
      <c r="AO93">
        <v>30</v>
      </c>
      <c r="AP93">
        <v>3</v>
      </c>
      <c r="AQ93">
        <v>4</v>
      </c>
      <c r="AR93">
        <v>10</v>
      </c>
      <c r="AS93" t="e">
        <v>#N/A</v>
      </c>
    </row>
    <row r="94" spans="1:45" customFormat="1">
      <c r="A94">
        <v>27.5</v>
      </c>
      <c r="B94" t="s">
        <v>391</v>
      </c>
      <c r="C94" t="s">
        <v>559</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320</v>
      </c>
      <c r="AN94">
        <v>9</v>
      </c>
      <c r="AO94">
        <v>30</v>
      </c>
      <c r="AP94">
        <v>3</v>
      </c>
      <c r="AQ94">
        <v>4</v>
      </c>
      <c r="AR94">
        <v>10</v>
      </c>
      <c r="AS94" t="e">
        <v>#N/A</v>
      </c>
    </row>
    <row r="95" spans="1:45" customFormat="1">
      <c r="A95">
        <v>28.5</v>
      </c>
      <c r="B95" t="s">
        <v>401</v>
      </c>
      <c r="C95" t="s">
        <v>569</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320</v>
      </c>
      <c r="AN95">
        <v>9</v>
      </c>
      <c r="AO95">
        <v>30</v>
      </c>
      <c r="AP95">
        <v>3</v>
      </c>
      <c r="AQ95">
        <v>4</v>
      </c>
      <c r="AR95">
        <v>10</v>
      </c>
      <c r="AS95" t="e">
        <v>#N/A</v>
      </c>
    </row>
    <row r="96" spans="1:45" customFormat="1">
      <c r="A96">
        <v>29.5</v>
      </c>
      <c r="B96" t="s">
        <v>390</v>
      </c>
      <c r="C96" t="s">
        <v>558</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320</v>
      </c>
      <c r="AN96">
        <v>9</v>
      </c>
      <c r="AO96">
        <v>30</v>
      </c>
      <c r="AP96">
        <v>3</v>
      </c>
      <c r="AQ96">
        <v>4</v>
      </c>
      <c r="AR96">
        <v>10</v>
      </c>
      <c r="AS96" t="e">
        <v>#N/A</v>
      </c>
    </row>
    <row r="97" spans="1:45" customFormat="1">
      <c r="A97">
        <v>30.5</v>
      </c>
      <c r="B97" t="s">
        <v>392</v>
      </c>
      <c r="C97" t="s">
        <v>560</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320</v>
      </c>
      <c r="AN97">
        <v>9</v>
      </c>
      <c r="AO97">
        <v>30</v>
      </c>
      <c r="AP97">
        <v>3</v>
      </c>
      <c r="AQ97">
        <v>4</v>
      </c>
      <c r="AR97">
        <v>10</v>
      </c>
      <c r="AS97" t="e">
        <v>#N/A</v>
      </c>
    </row>
    <row r="98" spans="1:45" customFormat="1">
      <c r="A98">
        <v>31.5</v>
      </c>
      <c r="B98" t="s">
        <v>389</v>
      </c>
      <c r="C98" t="s">
        <v>557</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320</v>
      </c>
      <c r="AN98">
        <v>9</v>
      </c>
      <c r="AO98">
        <v>30</v>
      </c>
      <c r="AP98">
        <v>3</v>
      </c>
      <c r="AQ98">
        <v>4</v>
      </c>
      <c r="AR98">
        <v>10</v>
      </c>
      <c r="AS98" t="e">
        <v>#N/A</v>
      </c>
    </row>
    <row r="99" spans="1:45" customFormat="1">
      <c r="A99">
        <v>32.5</v>
      </c>
      <c r="B99" t="s">
        <v>393</v>
      </c>
      <c r="C99" t="s">
        <v>561</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320</v>
      </c>
      <c r="AN99">
        <v>9</v>
      </c>
      <c r="AO99">
        <v>30</v>
      </c>
      <c r="AP99">
        <v>3</v>
      </c>
      <c r="AQ99">
        <v>4</v>
      </c>
      <c r="AR99">
        <v>10</v>
      </c>
      <c r="AS99" t="e">
        <v>#N/A</v>
      </c>
    </row>
    <row r="100" spans="1:45" customFormat="1">
      <c r="A100">
        <v>33.5</v>
      </c>
      <c r="B100" t="s">
        <v>404</v>
      </c>
      <c r="C100" t="s">
        <v>572</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320</v>
      </c>
      <c r="AN100">
        <v>9</v>
      </c>
      <c r="AO100">
        <v>30</v>
      </c>
      <c r="AP100">
        <v>3</v>
      </c>
      <c r="AQ100">
        <v>4</v>
      </c>
      <c r="AR100">
        <v>10</v>
      </c>
      <c r="AS100" t="e">
        <v>#N/A</v>
      </c>
    </row>
    <row r="101" spans="1:45" customFormat="1">
      <c r="A101">
        <v>34.5</v>
      </c>
      <c r="B101" t="s">
        <v>405</v>
      </c>
      <c r="C101" t="s">
        <v>573</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320</v>
      </c>
      <c r="AN101">
        <v>9</v>
      </c>
      <c r="AO101">
        <v>30</v>
      </c>
      <c r="AP101">
        <v>3</v>
      </c>
      <c r="AQ101">
        <v>4</v>
      </c>
      <c r="AR101">
        <v>10</v>
      </c>
      <c r="AS101" t="e">
        <v>#N/A</v>
      </c>
    </row>
    <row r="102" spans="1:45" customFormat="1">
      <c r="A102">
        <v>35.5</v>
      </c>
      <c r="B102" t="s">
        <v>406</v>
      </c>
      <c r="C102" t="s">
        <v>574</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320</v>
      </c>
      <c r="AN102">
        <v>9</v>
      </c>
      <c r="AO102">
        <v>30</v>
      </c>
      <c r="AP102">
        <v>3</v>
      </c>
      <c r="AQ102">
        <v>4</v>
      </c>
      <c r="AR102">
        <v>10</v>
      </c>
      <c r="AS102" t="e">
        <v>#N/A</v>
      </c>
    </row>
    <row r="103" spans="1:45" customFormat="1">
      <c r="A103">
        <v>36.5</v>
      </c>
      <c r="B103" t="s">
        <v>394</v>
      </c>
      <c r="C103" t="s">
        <v>562</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320</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376</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443</v>
      </c>
      <c r="C113" t="s">
        <v>513</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367</v>
      </c>
      <c r="AN113">
        <v>9</v>
      </c>
      <c r="AO113">
        <v>45</v>
      </c>
      <c r="AP113">
        <v>3</v>
      </c>
      <c r="AQ113">
        <v>4</v>
      </c>
      <c r="AR113">
        <v>10</v>
      </c>
      <c r="AS113" t="e">
        <v>#N/A</v>
      </c>
    </row>
    <row r="114" spans="1:45" customFormat="1">
      <c r="A114">
        <v>1.5</v>
      </c>
      <c r="B114" t="s">
        <v>444</v>
      </c>
      <c r="C114" t="s">
        <v>514</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367</v>
      </c>
      <c r="AN114">
        <v>9</v>
      </c>
      <c r="AO114">
        <v>45</v>
      </c>
      <c r="AP114">
        <v>3</v>
      </c>
      <c r="AQ114">
        <v>4</v>
      </c>
      <c r="AR114">
        <v>10</v>
      </c>
      <c r="AS114" t="e">
        <v>#N/A</v>
      </c>
    </row>
    <row r="115" spans="1:45" customFormat="1">
      <c r="A115">
        <v>2.5</v>
      </c>
      <c r="B115" t="s">
        <v>445</v>
      </c>
      <c r="C115" t="s">
        <v>515</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367</v>
      </c>
      <c r="AN115">
        <v>9</v>
      </c>
      <c r="AO115">
        <v>45</v>
      </c>
      <c r="AP115">
        <v>3</v>
      </c>
      <c r="AQ115">
        <v>4</v>
      </c>
      <c r="AR115">
        <v>10</v>
      </c>
      <c r="AS115" t="e">
        <v>#N/A</v>
      </c>
    </row>
    <row r="116" spans="1:45" customFormat="1">
      <c r="A116">
        <v>3.5</v>
      </c>
      <c r="B116" t="s">
        <v>419</v>
      </c>
      <c r="C116" t="s">
        <v>550</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367</v>
      </c>
      <c r="AN116">
        <v>9</v>
      </c>
      <c r="AO116">
        <v>45</v>
      </c>
      <c r="AP116">
        <v>3</v>
      </c>
      <c r="AQ116">
        <v>4</v>
      </c>
      <c r="AR116">
        <v>10</v>
      </c>
      <c r="AS116" t="e">
        <v>#N/A</v>
      </c>
    </row>
    <row r="117" spans="1:45" customFormat="1">
      <c r="A117">
        <v>4.5</v>
      </c>
      <c r="B117" t="s">
        <v>446</v>
      </c>
      <c r="C117" t="s">
        <v>516</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367</v>
      </c>
      <c r="AN117">
        <v>9</v>
      </c>
      <c r="AO117">
        <v>45</v>
      </c>
      <c r="AP117">
        <v>3</v>
      </c>
      <c r="AQ117">
        <v>4</v>
      </c>
      <c r="AR117">
        <v>10</v>
      </c>
      <c r="AS117" t="e">
        <v>#N/A</v>
      </c>
    </row>
    <row r="118" spans="1:45" customFormat="1">
      <c r="A118">
        <v>5.5</v>
      </c>
      <c r="B118" t="s">
        <v>447</v>
      </c>
      <c r="C118" t="s">
        <v>517</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367</v>
      </c>
      <c r="AN118">
        <v>9</v>
      </c>
      <c r="AO118">
        <v>45</v>
      </c>
      <c r="AP118">
        <v>3</v>
      </c>
      <c r="AQ118">
        <v>4</v>
      </c>
      <c r="AR118">
        <v>10</v>
      </c>
      <c r="AS118" t="e">
        <v>#N/A</v>
      </c>
    </row>
    <row r="119" spans="1:45" customFormat="1">
      <c r="A119">
        <v>6.5</v>
      </c>
      <c r="B119" t="s">
        <v>432</v>
      </c>
      <c r="C119" t="s">
        <v>563</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367</v>
      </c>
      <c r="AN119">
        <v>9</v>
      </c>
      <c r="AO119">
        <v>45</v>
      </c>
      <c r="AP119">
        <v>3</v>
      </c>
      <c r="AQ119">
        <v>4</v>
      </c>
      <c r="AR119">
        <v>10</v>
      </c>
      <c r="AS119" t="e">
        <v>#N/A</v>
      </c>
    </row>
    <row r="120" spans="1:45" customFormat="1">
      <c r="A120">
        <v>7.5</v>
      </c>
      <c r="B120" t="s">
        <v>433</v>
      </c>
      <c r="C120" t="s">
        <v>564</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367</v>
      </c>
      <c r="AN120">
        <v>9</v>
      </c>
      <c r="AO120">
        <v>45</v>
      </c>
      <c r="AP120">
        <v>3</v>
      </c>
      <c r="AQ120">
        <v>4</v>
      </c>
      <c r="AR120">
        <v>10</v>
      </c>
      <c r="AS120" t="e">
        <v>#N/A</v>
      </c>
    </row>
    <row r="121" spans="1:45" customFormat="1">
      <c r="A121">
        <v>8.5</v>
      </c>
      <c r="B121" t="s">
        <v>448</v>
      </c>
      <c r="C121" t="s">
        <v>518</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367</v>
      </c>
      <c r="AN121">
        <v>9</v>
      </c>
      <c r="AO121">
        <v>45</v>
      </c>
      <c r="AP121">
        <v>3</v>
      </c>
      <c r="AQ121">
        <v>4</v>
      </c>
      <c r="AR121">
        <v>10</v>
      </c>
      <c r="AS121" t="e">
        <v>#N/A</v>
      </c>
    </row>
    <row r="122" spans="1:45" customFormat="1">
      <c r="A122">
        <v>9.5</v>
      </c>
      <c r="B122" t="s">
        <v>420</v>
      </c>
      <c r="C122" t="s">
        <v>551</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367</v>
      </c>
      <c r="AN122">
        <v>9</v>
      </c>
      <c r="AO122">
        <v>45</v>
      </c>
      <c r="AP122">
        <v>3</v>
      </c>
      <c r="AQ122">
        <v>4</v>
      </c>
      <c r="AR122">
        <v>10</v>
      </c>
      <c r="AS122" t="e">
        <v>#N/A</v>
      </c>
    </row>
    <row r="123" spans="1:45" customFormat="1">
      <c r="A123">
        <v>10.5</v>
      </c>
      <c r="B123" t="s">
        <v>449</v>
      </c>
      <c r="C123" t="s">
        <v>519</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367</v>
      </c>
      <c r="AN123">
        <v>9</v>
      </c>
      <c r="AO123">
        <v>45</v>
      </c>
      <c r="AP123">
        <v>3</v>
      </c>
      <c r="AQ123">
        <v>4</v>
      </c>
      <c r="AR123">
        <v>10</v>
      </c>
      <c r="AS123" t="e">
        <v>#N/A</v>
      </c>
    </row>
    <row r="124" spans="1:45" customFormat="1">
      <c r="A124">
        <v>11.5</v>
      </c>
      <c r="B124" t="s">
        <v>421</v>
      </c>
      <c r="C124" t="s">
        <v>552</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367</v>
      </c>
      <c r="AN124">
        <v>9</v>
      </c>
      <c r="AO124">
        <v>45</v>
      </c>
      <c r="AP124">
        <v>3</v>
      </c>
      <c r="AQ124">
        <v>4</v>
      </c>
      <c r="AR124">
        <v>10</v>
      </c>
      <c r="AS124" t="e">
        <v>#N/A</v>
      </c>
    </row>
    <row r="125" spans="1:45" customFormat="1">
      <c r="A125">
        <v>12.5</v>
      </c>
      <c r="B125" t="s">
        <v>423</v>
      </c>
      <c r="C125" t="s">
        <v>554</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367</v>
      </c>
      <c r="AN125">
        <v>9</v>
      </c>
      <c r="AO125">
        <v>45</v>
      </c>
      <c r="AP125">
        <v>3</v>
      </c>
      <c r="AQ125">
        <v>4</v>
      </c>
      <c r="AR125">
        <v>10</v>
      </c>
      <c r="AS125" t="e">
        <v>#N/A</v>
      </c>
    </row>
    <row r="126" spans="1:45" customFormat="1">
      <c r="A126">
        <v>13.5</v>
      </c>
      <c r="B126" t="s">
        <v>434</v>
      </c>
      <c r="C126" t="s">
        <v>565</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367</v>
      </c>
      <c r="AN126">
        <v>9</v>
      </c>
      <c r="AO126">
        <v>45</v>
      </c>
      <c r="AP126">
        <v>3</v>
      </c>
      <c r="AQ126">
        <v>4</v>
      </c>
      <c r="AR126">
        <v>10</v>
      </c>
      <c r="AS126" t="e">
        <v>#N/A</v>
      </c>
    </row>
    <row r="127" spans="1:45" customFormat="1">
      <c r="A127">
        <v>14.5</v>
      </c>
      <c r="B127" t="s">
        <v>435</v>
      </c>
      <c r="C127" t="s">
        <v>566</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367</v>
      </c>
      <c r="AN127">
        <v>9</v>
      </c>
      <c r="AO127">
        <v>45</v>
      </c>
      <c r="AP127">
        <v>3</v>
      </c>
      <c r="AQ127">
        <v>4</v>
      </c>
      <c r="AR127">
        <v>10</v>
      </c>
      <c r="AS127" t="e">
        <v>#N/A</v>
      </c>
    </row>
    <row r="128" spans="1:45" customFormat="1">
      <c r="A128">
        <v>15.5</v>
      </c>
      <c r="B128" t="s">
        <v>439</v>
      </c>
      <c r="C128" t="s">
        <v>571</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367</v>
      </c>
      <c r="AN128">
        <v>9</v>
      </c>
      <c r="AO128">
        <v>45</v>
      </c>
      <c r="AP128">
        <v>3</v>
      </c>
      <c r="AQ128">
        <v>4</v>
      </c>
      <c r="AR128">
        <v>10</v>
      </c>
      <c r="AS128" t="e">
        <v>#N/A</v>
      </c>
    </row>
    <row r="129" spans="1:45" customFormat="1">
      <c r="A129">
        <v>16.5</v>
      </c>
      <c r="B129" t="s">
        <v>424</v>
      </c>
      <c r="C129" t="s">
        <v>555</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367</v>
      </c>
      <c r="AN129">
        <v>9</v>
      </c>
      <c r="AO129">
        <v>45</v>
      </c>
      <c r="AP129">
        <v>3</v>
      </c>
      <c r="AQ129">
        <v>4</v>
      </c>
      <c r="AR129">
        <v>10</v>
      </c>
      <c r="AS129" t="e">
        <v>#N/A</v>
      </c>
    </row>
    <row r="130" spans="1:45" customFormat="1">
      <c r="A130">
        <v>17.5</v>
      </c>
      <c r="B130" t="s">
        <v>436</v>
      </c>
      <c r="C130" t="s">
        <v>567</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367</v>
      </c>
      <c r="AN130">
        <v>9</v>
      </c>
      <c r="AO130">
        <v>45</v>
      </c>
      <c r="AP130">
        <v>3</v>
      </c>
      <c r="AQ130">
        <v>4</v>
      </c>
      <c r="AR130">
        <v>10</v>
      </c>
      <c r="AS130" t="e">
        <v>#N/A</v>
      </c>
    </row>
    <row r="131" spans="1:45" customFormat="1">
      <c r="A131">
        <v>18.5</v>
      </c>
      <c r="B131" t="s">
        <v>529</v>
      </c>
      <c r="C131" t="s">
        <v>568</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367</v>
      </c>
      <c r="AN131">
        <v>9</v>
      </c>
      <c r="AO131">
        <v>45</v>
      </c>
      <c r="AP131">
        <v>3</v>
      </c>
      <c r="AQ131">
        <v>4</v>
      </c>
      <c r="AR131">
        <v>10</v>
      </c>
      <c r="AS131" t="e">
        <v>#N/A</v>
      </c>
    </row>
    <row r="132" spans="1:45" customFormat="1">
      <c r="A132">
        <v>19.5</v>
      </c>
      <c r="B132" t="s">
        <v>425</v>
      </c>
      <c r="C132" t="s">
        <v>556</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367</v>
      </c>
      <c r="AN132">
        <v>9</v>
      </c>
      <c r="AO132">
        <v>45</v>
      </c>
      <c r="AP132">
        <v>3</v>
      </c>
      <c r="AQ132">
        <v>4</v>
      </c>
      <c r="AR132">
        <v>10</v>
      </c>
      <c r="AS132" t="e">
        <v>#N/A</v>
      </c>
    </row>
    <row r="133" spans="1:45" customFormat="1">
      <c r="A133">
        <v>20.5</v>
      </c>
      <c r="B133" t="s">
        <v>422</v>
      </c>
      <c r="C133" t="s">
        <v>553</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367</v>
      </c>
      <c r="AN133">
        <v>9</v>
      </c>
      <c r="AO133">
        <v>45</v>
      </c>
      <c r="AP133">
        <v>3</v>
      </c>
      <c r="AQ133">
        <v>4</v>
      </c>
      <c r="AR133">
        <v>10</v>
      </c>
      <c r="AS133" t="e">
        <v>#N/A</v>
      </c>
    </row>
    <row r="134" spans="1:45" customFormat="1">
      <c r="A134">
        <v>21.5</v>
      </c>
      <c r="B134" t="s">
        <v>450</v>
      </c>
      <c r="C134" t="s">
        <v>520</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367</v>
      </c>
      <c r="AN134">
        <v>9</v>
      </c>
      <c r="AO134">
        <v>45</v>
      </c>
      <c r="AP134">
        <v>3</v>
      </c>
      <c r="AQ134">
        <v>4</v>
      </c>
      <c r="AR134">
        <v>10</v>
      </c>
      <c r="AS134" t="e">
        <v>#N/A</v>
      </c>
    </row>
    <row r="135" spans="1:45" customFormat="1">
      <c r="A135">
        <v>22.5</v>
      </c>
      <c r="B135" t="s">
        <v>451</v>
      </c>
      <c r="C135" t="s">
        <v>521</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367</v>
      </c>
      <c r="AN135">
        <v>9</v>
      </c>
      <c r="AO135">
        <v>45</v>
      </c>
      <c r="AP135">
        <v>3</v>
      </c>
      <c r="AQ135">
        <v>4</v>
      </c>
      <c r="AR135">
        <v>10</v>
      </c>
      <c r="AS135" t="e">
        <v>#N/A</v>
      </c>
    </row>
    <row r="136" spans="1:45" customFormat="1">
      <c r="A136">
        <v>23.5</v>
      </c>
      <c r="B136" t="s">
        <v>438</v>
      </c>
      <c r="C136" t="s">
        <v>570</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367</v>
      </c>
      <c r="AN136">
        <v>9</v>
      </c>
      <c r="AO136">
        <v>45</v>
      </c>
      <c r="AP136">
        <v>3</v>
      </c>
      <c r="AQ136">
        <v>4</v>
      </c>
      <c r="AR136">
        <v>10</v>
      </c>
      <c r="AS136" t="e">
        <v>#N/A</v>
      </c>
    </row>
    <row r="137" spans="1:45" customFormat="1">
      <c r="A137">
        <v>24.5</v>
      </c>
      <c r="B137" t="s">
        <v>452</v>
      </c>
      <c r="C137" t="s">
        <v>522</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367</v>
      </c>
      <c r="AN137">
        <v>9</v>
      </c>
      <c r="AO137">
        <v>45</v>
      </c>
      <c r="AP137">
        <v>3</v>
      </c>
      <c r="AQ137">
        <v>4</v>
      </c>
      <c r="AR137">
        <v>10</v>
      </c>
      <c r="AS137" t="e">
        <v>#N/A</v>
      </c>
    </row>
    <row r="138" spans="1:45" customFormat="1">
      <c r="A138">
        <v>25.5</v>
      </c>
      <c r="B138" t="s">
        <v>453</v>
      </c>
      <c r="C138" t="s">
        <v>523</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367</v>
      </c>
      <c r="AN138">
        <v>9</v>
      </c>
      <c r="AO138">
        <v>45</v>
      </c>
      <c r="AP138">
        <v>3</v>
      </c>
      <c r="AQ138">
        <v>4</v>
      </c>
      <c r="AR138">
        <v>10</v>
      </c>
      <c r="AS138" t="e">
        <v>#N/A</v>
      </c>
    </row>
    <row r="139" spans="1:45" customFormat="1">
      <c r="A139">
        <v>26.5</v>
      </c>
      <c r="B139" t="s">
        <v>454</v>
      </c>
      <c r="C139" t="s">
        <v>524</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367</v>
      </c>
      <c r="AN139">
        <v>9</v>
      </c>
      <c r="AO139">
        <v>45</v>
      </c>
      <c r="AP139">
        <v>3</v>
      </c>
      <c r="AQ139">
        <v>4</v>
      </c>
      <c r="AR139">
        <v>10</v>
      </c>
      <c r="AS139" t="e">
        <v>#N/A</v>
      </c>
    </row>
    <row r="140" spans="1:45" customFormat="1">
      <c r="A140">
        <v>27.5</v>
      </c>
      <c r="B140" t="s">
        <v>428</v>
      </c>
      <c r="C140" t="s">
        <v>559</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367</v>
      </c>
      <c r="AN140">
        <v>9</v>
      </c>
      <c r="AO140">
        <v>45</v>
      </c>
      <c r="AP140">
        <v>3</v>
      </c>
      <c r="AQ140">
        <v>4</v>
      </c>
      <c r="AR140">
        <v>10</v>
      </c>
      <c r="AS140" t="e">
        <v>#N/A</v>
      </c>
    </row>
    <row r="141" spans="1:45" customFormat="1">
      <c r="A141">
        <v>28.5</v>
      </c>
      <c r="B141" t="s">
        <v>437</v>
      </c>
      <c r="C141" t="s">
        <v>569</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367</v>
      </c>
      <c r="AN141">
        <v>9</v>
      </c>
      <c r="AO141">
        <v>45</v>
      </c>
      <c r="AP141">
        <v>3</v>
      </c>
      <c r="AQ141">
        <v>4</v>
      </c>
      <c r="AR141">
        <v>10</v>
      </c>
      <c r="AS141" t="e">
        <v>#N/A</v>
      </c>
    </row>
    <row r="142" spans="1:45" customFormat="1">
      <c r="A142">
        <v>29.5</v>
      </c>
      <c r="B142" t="s">
        <v>427</v>
      </c>
      <c r="C142" t="s">
        <v>558</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367</v>
      </c>
      <c r="AN142">
        <v>9</v>
      </c>
      <c r="AO142">
        <v>45</v>
      </c>
      <c r="AP142">
        <v>3</v>
      </c>
      <c r="AQ142">
        <v>4</v>
      </c>
      <c r="AR142">
        <v>10</v>
      </c>
      <c r="AS142" t="e">
        <v>#N/A</v>
      </c>
    </row>
    <row r="143" spans="1:45" customFormat="1">
      <c r="A143">
        <v>30.5</v>
      </c>
      <c r="B143" t="s">
        <v>429</v>
      </c>
      <c r="C143" t="s">
        <v>560</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367</v>
      </c>
      <c r="AN143">
        <v>9</v>
      </c>
      <c r="AO143">
        <v>45</v>
      </c>
      <c r="AP143">
        <v>3</v>
      </c>
      <c r="AQ143">
        <v>4</v>
      </c>
      <c r="AR143">
        <v>10</v>
      </c>
      <c r="AS143" t="e">
        <v>#N/A</v>
      </c>
    </row>
    <row r="144" spans="1:45" customFormat="1">
      <c r="A144">
        <v>31.5</v>
      </c>
      <c r="B144" t="s">
        <v>426</v>
      </c>
      <c r="C144" t="s">
        <v>557</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367</v>
      </c>
      <c r="AN144">
        <v>9</v>
      </c>
      <c r="AO144">
        <v>45</v>
      </c>
      <c r="AP144">
        <v>3</v>
      </c>
      <c r="AQ144">
        <v>4</v>
      </c>
      <c r="AR144">
        <v>10</v>
      </c>
      <c r="AS144" t="e">
        <v>#N/A</v>
      </c>
    </row>
    <row r="145" spans="1:45" customFormat="1">
      <c r="A145">
        <v>32.5</v>
      </c>
      <c r="B145" t="s">
        <v>430</v>
      </c>
      <c r="C145" t="s">
        <v>561</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367</v>
      </c>
      <c r="AN145">
        <v>9</v>
      </c>
      <c r="AO145">
        <v>45</v>
      </c>
      <c r="AP145">
        <v>3</v>
      </c>
      <c r="AQ145">
        <v>4</v>
      </c>
      <c r="AR145">
        <v>10</v>
      </c>
      <c r="AS145" t="e">
        <v>#N/A</v>
      </c>
    </row>
    <row r="146" spans="1:45" customFormat="1">
      <c r="A146">
        <v>33.5</v>
      </c>
      <c r="B146" t="s">
        <v>440</v>
      </c>
      <c r="C146" t="s">
        <v>572</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367</v>
      </c>
      <c r="AN146">
        <v>9</v>
      </c>
      <c r="AO146">
        <v>45</v>
      </c>
      <c r="AP146">
        <v>3</v>
      </c>
      <c r="AQ146">
        <v>4</v>
      </c>
      <c r="AR146">
        <v>10</v>
      </c>
      <c r="AS146" t="e">
        <v>#N/A</v>
      </c>
    </row>
    <row r="147" spans="1:45" customFormat="1">
      <c r="A147">
        <v>34.5</v>
      </c>
      <c r="B147" t="s">
        <v>441</v>
      </c>
      <c r="C147" t="s">
        <v>573</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367</v>
      </c>
      <c r="AN147">
        <v>9</v>
      </c>
      <c r="AO147">
        <v>45</v>
      </c>
      <c r="AP147">
        <v>3</v>
      </c>
      <c r="AQ147">
        <v>4</v>
      </c>
      <c r="AR147">
        <v>10</v>
      </c>
      <c r="AS147" t="e">
        <v>#N/A</v>
      </c>
    </row>
    <row r="148" spans="1:45" customFormat="1">
      <c r="A148">
        <v>35.5</v>
      </c>
      <c r="B148" t="s">
        <v>442</v>
      </c>
      <c r="C148" t="s">
        <v>574</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367</v>
      </c>
      <c r="AN148">
        <v>9</v>
      </c>
      <c r="AO148">
        <v>45</v>
      </c>
      <c r="AP148">
        <v>3</v>
      </c>
      <c r="AQ148">
        <v>4</v>
      </c>
      <c r="AR148">
        <v>10</v>
      </c>
      <c r="AS148" t="e">
        <v>#N/A</v>
      </c>
    </row>
    <row r="149" spans="1:45" customFormat="1">
      <c r="A149">
        <v>36.5</v>
      </c>
      <c r="B149" t="s">
        <v>431</v>
      </c>
      <c r="C149" t="s">
        <v>562</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367</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64</v>
      </c>
      <c r="B157" s="211" t="s">
        <v>59</v>
      </c>
      <c r="C157" s="211" t="s">
        <v>50</v>
      </c>
      <c r="D157" s="211" t="s">
        <v>1</v>
      </c>
      <c r="E157" s="211" t="s">
        <v>49</v>
      </c>
      <c r="F157" s="212" t="s">
        <v>21</v>
      </c>
      <c r="G157" s="212" t="s">
        <v>57</v>
      </c>
      <c r="H157" s="213" t="s">
        <v>23</v>
      </c>
      <c r="I157" s="213" t="s">
        <v>56</v>
      </c>
      <c r="J157" s="213" t="s">
        <v>91</v>
      </c>
      <c r="K157" s="213" t="s">
        <v>92</v>
      </c>
      <c r="L157" s="213" t="s">
        <v>93</v>
      </c>
      <c r="M157" s="213" t="s">
        <v>94</v>
      </c>
      <c r="N157" s="211" t="s">
        <v>63</v>
      </c>
      <c r="O157" s="214" t="s">
        <v>65</v>
      </c>
      <c r="P157" s="214" t="s">
        <v>12</v>
      </c>
      <c r="Q157" s="214" t="s">
        <v>10</v>
      </c>
      <c r="R157" s="214" t="s">
        <v>11</v>
      </c>
      <c r="S157" s="214" t="s">
        <v>52</v>
      </c>
      <c r="T157" s="211" t="s">
        <v>60</v>
      </c>
      <c r="U157" s="211" t="s">
        <v>210</v>
      </c>
      <c r="V157" s="211" t="s">
        <v>211</v>
      </c>
      <c r="W157" s="214" t="s">
        <v>12</v>
      </c>
      <c r="X157" s="214" t="s">
        <v>10</v>
      </c>
      <c r="Y157" s="214" t="s">
        <v>11</v>
      </c>
      <c r="Z157" s="214" t="s">
        <v>52</v>
      </c>
      <c r="AA157" s="211" t="s">
        <v>209</v>
      </c>
      <c r="AB157" s="212" t="s">
        <v>61</v>
      </c>
      <c r="AC157" s="212" t="s">
        <v>62</v>
      </c>
      <c r="AD157" s="212" t="s">
        <v>61</v>
      </c>
      <c r="AE157" s="212" t="s">
        <v>62</v>
      </c>
      <c r="AF157" s="215" t="s">
        <v>61</v>
      </c>
      <c r="AG157" s="211" t="s">
        <v>62</v>
      </c>
      <c r="AH157" s="211" t="s">
        <v>55</v>
      </c>
      <c r="AI157" s="211" t="s">
        <v>5</v>
      </c>
      <c r="AJ157" s="211" t="s">
        <v>6</v>
      </c>
      <c r="AK157" s="211" t="s">
        <v>33</v>
      </c>
      <c r="AL157" s="211" t="s">
        <v>34</v>
      </c>
      <c r="AM157" s="211" t="s">
        <v>15</v>
      </c>
      <c r="AN157" s="211" t="s">
        <v>8</v>
      </c>
      <c r="AO157" s="211" t="s">
        <v>2</v>
      </c>
      <c r="AP157" s="216" t="s">
        <v>3</v>
      </c>
      <c r="AQ157" s="128" t="s">
        <v>4</v>
      </c>
      <c r="AR157" s="128" t="s">
        <v>35</v>
      </c>
    </row>
    <row r="158" spans="1:45">
      <c r="A158" s="191" t="s">
        <v>377</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480</v>
      </c>
      <c r="C159" t="s">
        <v>513</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369</v>
      </c>
      <c r="AN159">
        <v>15</v>
      </c>
      <c r="AO159">
        <v>45</v>
      </c>
      <c r="AP159">
        <v>0</v>
      </c>
      <c r="AQ159">
        <v>3</v>
      </c>
      <c r="AR159">
        <v>10</v>
      </c>
      <c r="AS159" t="e">
        <v>#N/A</v>
      </c>
    </row>
    <row r="160" spans="1:45" customFormat="1">
      <c r="A160">
        <v>1.5</v>
      </c>
      <c r="B160" t="s">
        <v>481</v>
      </c>
      <c r="C160" t="s">
        <v>514</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369</v>
      </c>
      <c r="AN160">
        <v>15</v>
      </c>
      <c r="AO160">
        <v>45</v>
      </c>
      <c r="AP160">
        <v>0</v>
      </c>
      <c r="AQ160">
        <v>3</v>
      </c>
      <c r="AR160">
        <v>10</v>
      </c>
      <c r="AS160" t="e">
        <v>#N/A</v>
      </c>
    </row>
    <row r="161" spans="1:45" customFormat="1">
      <c r="A161">
        <v>2.5</v>
      </c>
      <c r="B161" t="s">
        <v>482</v>
      </c>
      <c r="C161" t="s">
        <v>515</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369</v>
      </c>
      <c r="AN161">
        <v>15</v>
      </c>
      <c r="AO161">
        <v>45</v>
      </c>
      <c r="AP161">
        <v>0</v>
      </c>
      <c r="AQ161">
        <v>3</v>
      </c>
      <c r="AR161">
        <v>10</v>
      </c>
      <c r="AS161" t="e">
        <v>#N/A</v>
      </c>
    </row>
    <row r="162" spans="1:45" customFormat="1">
      <c r="A162">
        <v>3.5</v>
      </c>
      <c r="B162" t="s">
        <v>455</v>
      </c>
      <c r="C162" t="s">
        <v>550</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369</v>
      </c>
      <c r="AN162">
        <v>15</v>
      </c>
      <c r="AO162">
        <v>45</v>
      </c>
      <c r="AP162">
        <v>0</v>
      </c>
      <c r="AQ162">
        <v>3</v>
      </c>
      <c r="AR162">
        <v>10</v>
      </c>
      <c r="AS162" t="e">
        <v>#N/A</v>
      </c>
    </row>
    <row r="163" spans="1:45" customFormat="1">
      <c r="A163">
        <v>4.5</v>
      </c>
      <c r="B163" t="s">
        <v>483</v>
      </c>
      <c r="C163" t="s">
        <v>516</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369</v>
      </c>
      <c r="AN163">
        <v>15</v>
      </c>
      <c r="AO163">
        <v>45</v>
      </c>
      <c r="AP163">
        <v>0</v>
      </c>
      <c r="AQ163">
        <v>3</v>
      </c>
      <c r="AR163">
        <v>10</v>
      </c>
      <c r="AS163" t="e">
        <v>#N/A</v>
      </c>
    </row>
    <row r="164" spans="1:45" customFormat="1">
      <c r="A164">
        <v>5.5</v>
      </c>
      <c r="B164" t="s">
        <v>484</v>
      </c>
      <c r="C164" t="s">
        <v>517</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369</v>
      </c>
      <c r="AN164">
        <v>15</v>
      </c>
      <c r="AO164">
        <v>45</v>
      </c>
      <c r="AP164">
        <v>0</v>
      </c>
      <c r="AQ164">
        <v>3</v>
      </c>
      <c r="AR164">
        <v>10</v>
      </c>
      <c r="AS164" t="e">
        <v>#N/A</v>
      </c>
    </row>
    <row r="165" spans="1:45" customFormat="1">
      <c r="A165">
        <v>6.5</v>
      </c>
      <c r="B165" t="s">
        <v>468</v>
      </c>
      <c r="C165" t="s">
        <v>563</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369</v>
      </c>
      <c r="AN165">
        <v>15</v>
      </c>
      <c r="AO165">
        <v>45</v>
      </c>
      <c r="AP165">
        <v>0</v>
      </c>
      <c r="AQ165">
        <v>3</v>
      </c>
      <c r="AR165">
        <v>10</v>
      </c>
      <c r="AS165" t="e">
        <v>#N/A</v>
      </c>
    </row>
    <row r="166" spans="1:45" customFormat="1">
      <c r="A166">
        <v>7.5</v>
      </c>
      <c r="B166" t="s">
        <v>469</v>
      </c>
      <c r="C166" t="s">
        <v>564</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369</v>
      </c>
      <c r="AN166">
        <v>15</v>
      </c>
      <c r="AO166">
        <v>45</v>
      </c>
      <c r="AP166">
        <v>0</v>
      </c>
      <c r="AQ166">
        <v>3</v>
      </c>
      <c r="AR166">
        <v>10</v>
      </c>
      <c r="AS166" t="e">
        <v>#N/A</v>
      </c>
    </row>
    <row r="167" spans="1:45" customFormat="1">
      <c r="A167">
        <v>8.5</v>
      </c>
      <c r="B167" t="s">
        <v>485</v>
      </c>
      <c r="C167" t="s">
        <v>518</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369</v>
      </c>
      <c r="AN167">
        <v>15</v>
      </c>
      <c r="AO167">
        <v>45</v>
      </c>
      <c r="AP167">
        <v>0</v>
      </c>
      <c r="AQ167">
        <v>3</v>
      </c>
      <c r="AR167">
        <v>10</v>
      </c>
      <c r="AS167" t="e">
        <v>#N/A</v>
      </c>
    </row>
    <row r="168" spans="1:45" customFormat="1">
      <c r="A168">
        <v>9.5</v>
      </c>
      <c r="B168" t="s">
        <v>456</v>
      </c>
      <c r="C168" t="s">
        <v>551</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369</v>
      </c>
      <c r="AN168">
        <v>15</v>
      </c>
      <c r="AO168">
        <v>45</v>
      </c>
      <c r="AP168">
        <v>0</v>
      </c>
      <c r="AQ168">
        <v>3</v>
      </c>
      <c r="AR168">
        <v>10</v>
      </c>
      <c r="AS168" t="e">
        <v>#N/A</v>
      </c>
    </row>
    <row r="169" spans="1:45" customFormat="1">
      <c r="A169">
        <v>10.5</v>
      </c>
      <c r="B169" t="s">
        <v>486</v>
      </c>
      <c r="C169" t="s">
        <v>519</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369</v>
      </c>
      <c r="AN169">
        <v>15</v>
      </c>
      <c r="AO169">
        <v>45</v>
      </c>
      <c r="AP169">
        <v>0</v>
      </c>
      <c r="AQ169">
        <v>3</v>
      </c>
      <c r="AR169">
        <v>10</v>
      </c>
      <c r="AS169" t="e">
        <v>#N/A</v>
      </c>
    </row>
    <row r="170" spans="1:45" customFormat="1">
      <c r="A170">
        <v>11.5</v>
      </c>
      <c r="B170" t="s">
        <v>457</v>
      </c>
      <c r="C170" t="s">
        <v>552</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369</v>
      </c>
      <c r="AN170">
        <v>15</v>
      </c>
      <c r="AO170">
        <v>45</v>
      </c>
      <c r="AP170">
        <v>0</v>
      </c>
      <c r="AQ170">
        <v>3</v>
      </c>
      <c r="AR170">
        <v>10</v>
      </c>
      <c r="AS170" t="e">
        <v>#N/A</v>
      </c>
    </row>
    <row r="171" spans="1:45" customFormat="1">
      <c r="A171">
        <v>12.5</v>
      </c>
      <c r="B171" t="s">
        <v>459</v>
      </c>
      <c r="C171" t="s">
        <v>554</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369</v>
      </c>
      <c r="AN171">
        <v>15</v>
      </c>
      <c r="AO171">
        <v>45</v>
      </c>
      <c r="AP171">
        <v>0</v>
      </c>
      <c r="AQ171">
        <v>3</v>
      </c>
      <c r="AR171">
        <v>10</v>
      </c>
      <c r="AS171" t="e">
        <v>#N/A</v>
      </c>
    </row>
    <row r="172" spans="1:45" customFormat="1">
      <c r="A172">
        <v>13.5</v>
      </c>
      <c r="B172" t="s">
        <v>470</v>
      </c>
      <c r="C172" t="s">
        <v>565</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369</v>
      </c>
      <c r="AN172">
        <v>15</v>
      </c>
      <c r="AO172">
        <v>45</v>
      </c>
      <c r="AP172">
        <v>0</v>
      </c>
      <c r="AQ172">
        <v>3</v>
      </c>
      <c r="AR172">
        <v>10</v>
      </c>
      <c r="AS172" t="e">
        <v>#N/A</v>
      </c>
    </row>
    <row r="173" spans="1:45" customFormat="1">
      <c r="A173">
        <v>14.5</v>
      </c>
      <c r="B173" t="s">
        <v>471</v>
      </c>
      <c r="C173" t="s">
        <v>566</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369</v>
      </c>
      <c r="AN173">
        <v>15</v>
      </c>
      <c r="AO173">
        <v>45</v>
      </c>
      <c r="AP173">
        <v>0</v>
      </c>
      <c r="AQ173">
        <v>3</v>
      </c>
      <c r="AR173">
        <v>10</v>
      </c>
      <c r="AS173" t="e">
        <v>#N/A</v>
      </c>
    </row>
    <row r="174" spans="1:45" customFormat="1">
      <c r="A174">
        <v>15.5</v>
      </c>
      <c r="B174" t="s">
        <v>476</v>
      </c>
      <c r="C174" t="s">
        <v>571</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369</v>
      </c>
      <c r="AN174">
        <v>15</v>
      </c>
      <c r="AO174">
        <v>45</v>
      </c>
      <c r="AP174">
        <v>0</v>
      </c>
      <c r="AQ174">
        <v>3</v>
      </c>
      <c r="AR174">
        <v>10</v>
      </c>
      <c r="AS174" t="e">
        <v>#N/A</v>
      </c>
    </row>
    <row r="175" spans="1:45" customFormat="1">
      <c r="A175">
        <v>16.5</v>
      </c>
      <c r="B175" t="s">
        <v>460</v>
      </c>
      <c r="C175" t="s">
        <v>555</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369</v>
      </c>
      <c r="AN175">
        <v>15</v>
      </c>
      <c r="AO175">
        <v>45</v>
      </c>
      <c r="AP175">
        <v>0</v>
      </c>
      <c r="AQ175">
        <v>3</v>
      </c>
      <c r="AR175">
        <v>10</v>
      </c>
      <c r="AS175" t="e">
        <v>#N/A</v>
      </c>
    </row>
    <row r="176" spans="1:45" customFormat="1">
      <c r="A176">
        <v>17.5</v>
      </c>
      <c r="B176" t="s">
        <v>472</v>
      </c>
      <c r="C176" t="s">
        <v>567</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369</v>
      </c>
      <c r="AN176">
        <v>15</v>
      </c>
      <c r="AO176">
        <v>45</v>
      </c>
      <c r="AP176">
        <v>0</v>
      </c>
      <c r="AQ176">
        <v>3</v>
      </c>
      <c r="AR176">
        <v>10</v>
      </c>
      <c r="AS176" t="e">
        <v>#N/A</v>
      </c>
    </row>
    <row r="177" spans="1:45" customFormat="1">
      <c r="A177">
        <v>18.5</v>
      </c>
      <c r="B177" t="s">
        <v>473</v>
      </c>
      <c r="C177" t="s">
        <v>568</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369</v>
      </c>
      <c r="AN177">
        <v>15</v>
      </c>
      <c r="AO177">
        <v>45</v>
      </c>
      <c r="AP177">
        <v>0</v>
      </c>
      <c r="AQ177">
        <v>3</v>
      </c>
      <c r="AR177">
        <v>10</v>
      </c>
      <c r="AS177" t="e">
        <v>#N/A</v>
      </c>
    </row>
    <row r="178" spans="1:45" customFormat="1">
      <c r="A178">
        <v>19.5</v>
      </c>
      <c r="B178" t="s">
        <v>461</v>
      </c>
      <c r="C178" t="s">
        <v>556</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369</v>
      </c>
      <c r="AN178">
        <v>15</v>
      </c>
      <c r="AO178">
        <v>45</v>
      </c>
      <c r="AP178">
        <v>0</v>
      </c>
      <c r="AQ178">
        <v>3</v>
      </c>
      <c r="AR178">
        <v>10</v>
      </c>
      <c r="AS178" t="e">
        <v>#N/A</v>
      </c>
    </row>
    <row r="179" spans="1:45" customFormat="1">
      <c r="A179">
        <v>20.5</v>
      </c>
      <c r="B179" t="s">
        <v>458</v>
      </c>
      <c r="C179" t="s">
        <v>553</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369</v>
      </c>
      <c r="AN179">
        <v>15</v>
      </c>
      <c r="AO179">
        <v>45</v>
      </c>
      <c r="AP179">
        <v>0</v>
      </c>
      <c r="AQ179">
        <v>3</v>
      </c>
      <c r="AR179">
        <v>10</v>
      </c>
      <c r="AS179" t="e">
        <v>#N/A</v>
      </c>
    </row>
    <row r="180" spans="1:45" customFormat="1">
      <c r="A180">
        <v>21.5</v>
      </c>
      <c r="B180" t="s">
        <v>487</v>
      </c>
      <c r="C180" t="s">
        <v>520</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369</v>
      </c>
      <c r="AN180">
        <v>15</v>
      </c>
      <c r="AO180">
        <v>45</v>
      </c>
      <c r="AP180">
        <v>0</v>
      </c>
      <c r="AQ180">
        <v>3</v>
      </c>
      <c r="AR180">
        <v>10</v>
      </c>
      <c r="AS180" t="e">
        <v>#N/A</v>
      </c>
    </row>
    <row r="181" spans="1:45" customFormat="1">
      <c r="A181">
        <v>22.5</v>
      </c>
      <c r="B181" t="s">
        <v>488</v>
      </c>
      <c r="C181" t="s">
        <v>521</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369</v>
      </c>
      <c r="AN181">
        <v>15</v>
      </c>
      <c r="AO181">
        <v>45</v>
      </c>
      <c r="AP181">
        <v>0</v>
      </c>
      <c r="AQ181">
        <v>3</v>
      </c>
      <c r="AR181">
        <v>10</v>
      </c>
      <c r="AS181" t="e">
        <v>#N/A</v>
      </c>
    </row>
    <row r="182" spans="1:45" customFormat="1">
      <c r="A182">
        <v>23.5</v>
      </c>
      <c r="B182" t="s">
        <v>475</v>
      </c>
      <c r="C182" t="s">
        <v>570</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369</v>
      </c>
      <c r="AN182">
        <v>15</v>
      </c>
      <c r="AO182">
        <v>45</v>
      </c>
      <c r="AP182">
        <v>0</v>
      </c>
      <c r="AQ182">
        <v>3</v>
      </c>
      <c r="AR182">
        <v>10</v>
      </c>
      <c r="AS182" t="e">
        <v>#N/A</v>
      </c>
    </row>
    <row r="183" spans="1:45" customFormat="1">
      <c r="A183">
        <v>24.5</v>
      </c>
      <c r="B183" t="s">
        <v>489</v>
      </c>
      <c r="C183" t="s">
        <v>522</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369</v>
      </c>
      <c r="AN183">
        <v>15</v>
      </c>
      <c r="AO183">
        <v>45</v>
      </c>
      <c r="AP183">
        <v>0</v>
      </c>
      <c r="AQ183">
        <v>3</v>
      </c>
      <c r="AR183">
        <v>10</v>
      </c>
      <c r="AS183" t="e">
        <v>#N/A</v>
      </c>
    </row>
    <row r="184" spans="1:45" customFormat="1">
      <c r="A184">
        <v>25.5</v>
      </c>
      <c r="B184" t="s">
        <v>490</v>
      </c>
      <c r="C184" t="s">
        <v>523</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369</v>
      </c>
      <c r="AN184">
        <v>15</v>
      </c>
      <c r="AO184">
        <v>45</v>
      </c>
      <c r="AP184">
        <v>0</v>
      </c>
      <c r="AQ184">
        <v>3</v>
      </c>
      <c r="AR184">
        <v>10</v>
      </c>
      <c r="AS184" t="e">
        <v>#N/A</v>
      </c>
    </row>
    <row r="185" spans="1:45" customFormat="1">
      <c r="A185">
        <v>26.5</v>
      </c>
      <c r="B185" t="s">
        <v>491</v>
      </c>
      <c r="C185" t="s">
        <v>524</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369</v>
      </c>
      <c r="AN185">
        <v>15</v>
      </c>
      <c r="AO185">
        <v>45</v>
      </c>
      <c r="AP185">
        <v>0</v>
      </c>
      <c r="AQ185">
        <v>3</v>
      </c>
      <c r="AR185">
        <v>10</v>
      </c>
      <c r="AS185" t="e">
        <v>#N/A</v>
      </c>
    </row>
    <row r="186" spans="1:45" customFormat="1">
      <c r="A186">
        <v>27.5</v>
      </c>
      <c r="B186" t="s">
        <v>464</v>
      </c>
      <c r="C186" t="s">
        <v>559</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369</v>
      </c>
      <c r="AN186">
        <v>15</v>
      </c>
      <c r="AO186">
        <v>45</v>
      </c>
      <c r="AP186">
        <v>0</v>
      </c>
      <c r="AQ186">
        <v>3</v>
      </c>
      <c r="AR186">
        <v>10</v>
      </c>
      <c r="AS186" t="e">
        <v>#N/A</v>
      </c>
    </row>
    <row r="187" spans="1:45" customFormat="1">
      <c r="A187">
        <v>28.5</v>
      </c>
      <c r="B187" t="s">
        <v>474</v>
      </c>
      <c r="C187" t="s">
        <v>569</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369</v>
      </c>
      <c r="AN187">
        <v>15</v>
      </c>
      <c r="AO187">
        <v>45</v>
      </c>
      <c r="AP187">
        <v>0</v>
      </c>
      <c r="AQ187">
        <v>3</v>
      </c>
      <c r="AR187">
        <v>10</v>
      </c>
      <c r="AS187" t="e">
        <v>#N/A</v>
      </c>
    </row>
    <row r="188" spans="1:45" customFormat="1">
      <c r="A188">
        <v>29.5</v>
      </c>
      <c r="B188" t="s">
        <v>463</v>
      </c>
      <c r="C188" t="s">
        <v>558</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369</v>
      </c>
      <c r="AN188">
        <v>15</v>
      </c>
      <c r="AO188">
        <v>45</v>
      </c>
      <c r="AP188">
        <v>0</v>
      </c>
      <c r="AQ188">
        <v>3</v>
      </c>
      <c r="AR188">
        <v>10</v>
      </c>
      <c r="AS188" t="e">
        <v>#N/A</v>
      </c>
    </row>
    <row r="189" spans="1:45" customFormat="1">
      <c r="A189">
        <v>30.5</v>
      </c>
      <c r="B189" t="s">
        <v>465</v>
      </c>
      <c r="C189" t="s">
        <v>560</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369</v>
      </c>
      <c r="AN189">
        <v>15</v>
      </c>
      <c r="AO189">
        <v>45</v>
      </c>
      <c r="AP189">
        <v>0</v>
      </c>
      <c r="AQ189">
        <v>3</v>
      </c>
      <c r="AR189">
        <v>10</v>
      </c>
      <c r="AS189" t="e">
        <v>#N/A</v>
      </c>
    </row>
    <row r="190" spans="1:45" customFormat="1">
      <c r="A190">
        <v>31.5</v>
      </c>
      <c r="B190" t="s">
        <v>462</v>
      </c>
      <c r="C190" t="s">
        <v>557</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369</v>
      </c>
      <c r="AN190">
        <v>15</v>
      </c>
      <c r="AO190">
        <v>45</v>
      </c>
      <c r="AP190">
        <v>0</v>
      </c>
      <c r="AQ190">
        <v>3</v>
      </c>
      <c r="AR190">
        <v>10</v>
      </c>
      <c r="AS190" t="e">
        <v>#N/A</v>
      </c>
    </row>
    <row r="191" spans="1:45" customFormat="1">
      <c r="A191">
        <v>32.5</v>
      </c>
      <c r="B191" t="s">
        <v>466</v>
      </c>
      <c r="C191" t="s">
        <v>561</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369</v>
      </c>
      <c r="AN191">
        <v>15</v>
      </c>
      <c r="AO191">
        <v>45</v>
      </c>
      <c r="AP191">
        <v>0</v>
      </c>
      <c r="AQ191">
        <v>3</v>
      </c>
      <c r="AR191">
        <v>10</v>
      </c>
      <c r="AS191" t="e">
        <v>#N/A</v>
      </c>
    </row>
    <row r="192" spans="1:45" customFormat="1">
      <c r="A192">
        <v>33.5</v>
      </c>
      <c r="B192" t="s">
        <v>477</v>
      </c>
      <c r="C192" t="s">
        <v>572</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369</v>
      </c>
      <c r="AN192">
        <v>15</v>
      </c>
      <c r="AO192">
        <v>45</v>
      </c>
      <c r="AP192">
        <v>0</v>
      </c>
      <c r="AQ192">
        <v>3</v>
      </c>
      <c r="AR192">
        <v>10</v>
      </c>
      <c r="AS192" t="e">
        <v>#N/A</v>
      </c>
    </row>
    <row r="193" spans="1:45" customFormat="1">
      <c r="A193">
        <v>34.5</v>
      </c>
      <c r="B193" t="s">
        <v>478</v>
      </c>
      <c r="C193" t="s">
        <v>573</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369</v>
      </c>
      <c r="AN193">
        <v>15</v>
      </c>
      <c r="AO193">
        <v>45</v>
      </c>
      <c r="AP193">
        <v>0</v>
      </c>
      <c r="AQ193">
        <v>3</v>
      </c>
      <c r="AR193">
        <v>10</v>
      </c>
      <c r="AS193" t="e">
        <v>#N/A</v>
      </c>
    </row>
    <row r="194" spans="1:45" customFormat="1">
      <c r="A194">
        <v>35.5</v>
      </c>
      <c r="B194" t="s">
        <v>479</v>
      </c>
      <c r="C194" t="s">
        <v>574</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369</v>
      </c>
      <c r="AN194">
        <v>15</v>
      </c>
      <c r="AO194">
        <v>45</v>
      </c>
      <c r="AP194">
        <v>0</v>
      </c>
      <c r="AQ194">
        <v>3</v>
      </c>
      <c r="AR194">
        <v>10</v>
      </c>
      <c r="AS194" t="e">
        <v>#N/A</v>
      </c>
    </row>
    <row r="195" spans="1:45" customFormat="1">
      <c r="A195">
        <v>36.5</v>
      </c>
      <c r="B195" t="s">
        <v>467</v>
      </c>
      <c r="C195" t="s">
        <v>562</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369</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topLeftCell="A4" zoomScaleNormal="100" zoomScaleSheetLayoutView="100" workbookViewId="0">
      <selection activeCell="A20" sqref="A20"/>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v1.7.6a</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19" t="str">
        <f>Translation!B559</f>
        <v>Road geometry inputs describe the size and shape of the road section, as well as the placement and size of poles. Enter values for both baseline and upgrade. If you are replacing fixtures only, enter the same values in both columns.</v>
      </c>
      <c r="C5" s="719"/>
      <c r="D5" s="719"/>
      <c r="E5" s="719"/>
      <c r="F5" s="719"/>
      <c r="G5" s="225"/>
      <c r="H5" s="225"/>
      <c r="I5" s="225"/>
      <c r="J5" s="225"/>
      <c r="K5" s="225"/>
      <c r="L5" s="225"/>
      <c r="M5" s="225"/>
      <c r="N5" s="349"/>
      <c r="O5" s="349"/>
      <c r="P5" s="349"/>
      <c r="Q5" s="349"/>
      <c r="R5" s="349"/>
      <c r="S5" s="349"/>
      <c r="T5" s="349"/>
      <c r="U5" s="349"/>
      <c r="V5" s="349"/>
    </row>
    <row r="6" spans="1:28" ht="18.75" customHeight="1">
      <c r="A6" s="225"/>
      <c r="B6" s="719"/>
      <c r="C6" s="719"/>
      <c r="D6" s="719"/>
      <c r="E6" s="719"/>
      <c r="F6" s="719"/>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19"/>
      <c r="S9" s="719"/>
      <c r="T9" s="719"/>
      <c r="U9" s="719"/>
      <c r="V9" s="719"/>
      <c r="W9" t="s">
        <v>1780</v>
      </c>
    </row>
    <row r="10" spans="1:28">
      <c r="A10" s="225"/>
      <c r="B10" s="168" t="str">
        <f>Translation!B114</f>
        <v>Number of Lanes</v>
      </c>
      <c r="C10" s="36">
        <v>4</v>
      </c>
      <c r="D10" s="36">
        <v>4</v>
      </c>
      <c r="E10" s="168" t="str">
        <f>Translation!$B$112</f>
        <v>Lanes</v>
      </c>
      <c r="F10" s="279" t="s">
        <v>217</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4</v>
      </c>
      <c r="D11" s="36">
        <v>4</v>
      </c>
      <c r="E11" s="168" t="str">
        <f>Translation!B130</f>
        <v>meters</v>
      </c>
      <c r="F11" s="279" t="s">
        <v>217</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1</v>
      </c>
      <c r="D12" s="36">
        <v>1</v>
      </c>
      <c r="E12" s="168" t="str">
        <f>Translation!B130</f>
        <v>meters</v>
      </c>
      <c r="F12" s="279" t="s">
        <v>217</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1697</v>
      </c>
    </row>
    <row r="16" spans="1:28">
      <c r="A16" s="225"/>
      <c r="B16" s="168" t="str">
        <f>Translation!B116</f>
        <v>Pole Placement</v>
      </c>
      <c r="C16" s="378" t="s">
        <v>1246</v>
      </c>
      <c r="D16" s="378" t="s">
        <v>1246</v>
      </c>
      <c r="E16" s="168"/>
      <c r="F16" s="279" t="s">
        <v>217</v>
      </c>
      <c r="G16" s="225"/>
      <c r="H16" s="225"/>
      <c r="I16" s="225"/>
      <c r="J16" s="225"/>
      <c r="K16" s="225"/>
      <c r="L16" s="225"/>
      <c r="M16" s="225"/>
      <c r="N16" s="225"/>
      <c r="O16" s="225"/>
      <c r="P16" s="225"/>
      <c r="Q16" s="225"/>
      <c r="R16" s="225"/>
      <c r="S16" s="225"/>
      <c r="T16" s="225"/>
      <c r="U16" s="225"/>
      <c r="V16" s="225"/>
      <c r="W16" s="548">
        <f t="shared" si="0"/>
        <v>0</v>
      </c>
      <c r="Z16" s="168" t="s">
        <v>1696</v>
      </c>
      <c r="AA16" s="168" t="str">
        <f>$C$16</f>
        <v>Opposite</v>
      </c>
      <c r="AB16" s="168" t="str">
        <f>$D$16</f>
        <v>Opposite</v>
      </c>
    </row>
    <row r="17" spans="1:28">
      <c r="A17" s="225"/>
      <c r="B17" s="168" t="str">
        <f>Translation!B131</f>
        <v>Luminaire Mounting Height</v>
      </c>
      <c r="C17" s="36">
        <v>10</v>
      </c>
      <c r="D17" s="36">
        <v>10</v>
      </c>
      <c r="E17" s="168" t="str">
        <f>Translation!B130</f>
        <v>meters</v>
      </c>
      <c r="F17" s="279" t="s">
        <v>217</v>
      </c>
      <c r="G17" s="225"/>
      <c r="H17" s="225"/>
      <c r="I17" s="225"/>
      <c r="J17" s="225"/>
      <c r="K17" s="225"/>
      <c r="L17" s="225"/>
      <c r="M17" s="225"/>
      <c r="N17" s="225"/>
      <c r="O17" s="225"/>
      <c r="P17" s="225"/>
      <c r="Q17" s="225"/>
      <c r="R17" s="225"/>
      <c r="S17" s="225"/>
      <c r="T17" s="225"/>
      <c r="U17" s="225"/>
      <c r="V17" s="225"/>
      <c r="W17" s="546">
        <f t="shared" si="0"/>
        <v>0</v>
      </c>
      <c r="Z17" s="168" t="s">
        <v>344</v>
      </c>
      <c r="AA17" s="514" t="str">
        <f>INDEX(FixtureArrangementEnglish,MATCH(AA$16,FixtureArrangement,0))</f>
        <v>Opposite</v>
      </c>
      <c r="AB17" s="514" t="str">
        <f>INDEX(FixtureArrangementEnglish,MATCH(AB$16,FixtureArrangement,0))</f>
        <v>Opposite</v>
      </c>
    </row>
    <row r="18" spans="1:28">
      <c r="A18" s="225"/>
      <c r="B18" s="168" t="str">
        <f>Translation!B264</f>
        <v>Pole Spacing</v>
      </c>
      <c r="C18" s="36">
        <v>35</v>
      </c>
      <c r="D18" s="36">
        <v>35</v>
      </c>
      <c r="E18" s="168" t="str">
        <f>Translation!B130</f>
        <v>meters</v>
      </c>
      <c r="F18" s="279" t="s">
        <v>217</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0</v>
      </c>
      <c r="D19" s="36">
        <v>0</v>
      </c>
      <c r="E19" s="168" t="str">
        <f>Translation!B130</f>
        <v>meters</v>
      </c>
      <c r="F19" s="279" t="s">
        <v>217</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5.5</v>
      </c>
      <c r="D20" s="36">
        <v>5.5</v>
      </c>
      <c r="E20" s="168" t="str">
        <f>Translation!B130</f>
        <v>meters</v>
      </c>
      <c r="F20" s="279" t="s">
        <v>217</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1781</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208</v>
      </c>
      <c r="D24" s="182" t="str">
        <f>Translation!B189</f>
        <v>Standard Surface</v>
      </c>
      <c r="E24" s="279" t="s">
        <v>217</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28.571428571428573</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28.571428571428573</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48" priority="4" stopIfTrue="1">
      <formula>"&gt;5"</formula>
    </cfRule>
  </conditionalFormatting>
  <conditionalFormatting sqref="C50:C51">
    <cfRule type="expression" dxfId="47"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7" zoomScaleNormal="100" workbookViewId="0">
      <selection activeCell="D20" sqref="D20"/>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188</v>
      </c>
    </row>
    <row r="2" spans="1:27" s="126" customFormat="1" ht="45.75" customHeight="1">
      <c r="A2" s="128" t="s">
        <v>188</v>
      </c>
      <c r="B2" s="127"/>
      <c r="C2" s="127" t="str">
        <f>Start!$D$2</f>
        <v>SEAD Street Lighting Tool v1.7.6a</v>
      </c>
    </row>
    <row r="3" spans="1:27" s="136" customFormat="1" ht="121.5" customHeight="1">
      <c r="A3" s="128" t="s">
        <v>188</v>
      </c>
      <c r="B3" s="218"/>
      <c r="C3" s="218"/>
    </row>
    <row r="4" spans="1:27" s="225" customFormat="1" ht="25.5" customHeight="1"/>
    <row r="5" spans="1:27" s="225" customFormat="1" ht="74.25" customHeight="1">
      <c r="C5" s="719"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19"/>
      <c r="E5" s="719"/>
      <c r="F5" s="719"/>
      <c r="G5" s="719"/>
      <c r="H5" s="719"/>
      <c r="N5" s="349"/>
      <c r="AA5" s="225" t="s">
        <v>1732</v>
      </c>
    </row>
    <row r="6" spans="1:27" s="225" customFormat="1" ht="90.75" customHeight="1">
      <c r="C6" s="719"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19"/>
      <c r="E6" s="719"/>
      <c r="F6" s="719"/>
      <c r="G6" s="719"/>
      <c r="H6" s="719"/>
      <c r="L6" s="650"/>
      <c r="N6" s="864"/>
      <c r="O6" s="864"/>
      <c r="P6" s="864"/>
      <c r="Q6" s="864"/>
      <c r="AA6" s="225" t="s">
        <v>1727</v>
      </c>
    </row>
    <row r="7" spans="1:27" s="225" customFormat="1" ht="54" customHeight="1">
      <c r="A7" s="225" t="s">
        <v>188</v>
      </c>
      <c r="C7" s="540" t="str">
        <f>Translation!B119</f>
        <v>Select Calculation Method</v>
      </c>
      <c r="D7" s="36" t="s">
        <v>1249</v>
      </c>
      <c r="E7" s="889" t="str">
        <f>Translation!B117</f>
        <v>Luminance and Illuminance calculations can be done based on either IES or CIE standard. The output file reflects the method chosen here.</v>
      </c>
      <c r="F7" s="890"/>
      <c r="G7" s="890"/>
      <c r="H7" s="890"/>
      <c r="I7" s="890"/>
    </row>
    <row r="8" spans="1:27" s="225" customFormat="1" ht="19.5" customHeight="1">
      <c r="A8" s="225" t="s">
        <v>188</v>
      </c>
      <c r="C8" s="725"/>
      <c r="D8" s="725"/>
      <c r="E8" s="725"/>
    </row>
    <row r="9" spans="1:27" s="225" customFormat="1" ht="44.25" customHeight="1">
      <c r="A9" s="225" t="s">
        <v>188</v>
      </c>
    </row>
    <row r="10" spans="1:27" s="225" customFormat="1" ht="14.25" customHeight="1">
      <c r="A10" s="225" t="s">
        <v>188</v>
      </c>
      <c r="C10" s="128"/>
    </row>
    <row r="11" spans="1:27" s="225" customFormat="1" ht="14.25" customHeight="1">
      <c r="A11" s="225" t="s">
        <v>188</v>
      </c>
      <c r="C11" s="147" t="str">
        <f>Translation!$B$153</f>
        <v>Illuminance Method</v>
      </c>
      <c r="G11" s="541" t="str">
        <f>C11</f>
        <v>Illuminance Method</v>
      </c>
    </row>
    <row r="12" spans="1:27" s="225" customFormat="1" ht="30.75" customHeight="1">
      <c r="A12" s="225" t="s">
        <v>188</v>
      </c>
      <c r="C12" s="681" t="str">
        <f>Translation!$B$140</f>
        <v>Average Illuminance Target (Iavg)</v>
      </c>
      <c r="D12" s="36">
        <v>6</v>
      </c>
      <c r="E12" s="682" t="str">
        <f>Translation!$B$164</f>
        <v>Lux</v>
      </c>
      <c r="F12" s="683"/>
      <c r="G12" s="681" t="str">
        <f>Translation!$B$140</f>
        <v>Average Illuminance Target (Iavg)</v>
      </c>
      <c r="H12" s="36"/>
      <c r="I12" s="682" t="str">
        <f>Translation!$B$164</f>
        <v>Lux</v>
      </c>
    </row>
    <row r="13" spans="1:27" s="225" customFormat="1" ht="30.75" customHeight="1">
      <c r="A13" s="225" t="s">
        <v>188</v>
      </c>
      <c r="C13" s="681" t="str">
        <f>Translation!$B$265</f>
        <v>Uniformity Ratio (Iavg/Imin)</v>
      </c>
      <c r="D13" s="302">
        <v>6</v>
      </c>
      <c r="E13" s="527" t="str">
        <f>Translation!$B$200</f>
        <v>unitless</v>
      </c>
      <c r="F13" s="683"/>
      <c r="G13" s="681" t="str">
        <f>Translation!B266</f>
        <v>Uniformity Ratio (Imin/Iavg)</v>
      </c>
      <c r="H13" s="600"/>
      <c r="I13" s="527" t="str">
        <f>Translation!$B$200</f>
        <v>unitless</v>
      </c>
    </row>
    <row r="14" spans="1:27" s="225" customFormat="1" ht="14.25" customHeight="1">
      <c r="C14" s="683"/>
      <c r="D14" s="651"/>
      <c r="E14" s="683"/>
      <c r="F14" s="683"/>
      <c r="G14" s="683"/>
      <c r="H14" s="683"/>
      <c r="I14" s="683"/>
    </row>
    <row r="15" spans="1:27" s="225" customFormat="1" ht="14.25" customHeight="1">
      <c r="C15" s="683"/>
      <c r="D15" s="651"/>
      <c r="E15" s="683"/>
      <c r="F15" s="683"/>
      <c r="G15" s="683"/>
      <c r="H15" s="683"/>
      <c r="I15" s="683"/>
    </row>
    <row r="16" spans="1:27" s="225" customFormat="1" ht="18" customHeight="1">
      <c r="A16" s="225" t="s">
        <v>188</v>
      </c>
      <c r="C16" s="683"/>
      <c r="D16" s="651"/>
      <c r="E16" s="683"/>
      <c r="F16" s="683"/>
      <c r="G16" s="683"/>
      <c r="H16" s="683"/>
      <c r="I16" s="683"/>
    </row>
    <row r="17" spans="1:9" s="225" customFormat="1" ht="12.75" customHeight="1">
      <c r="A17" s="225" t="s">
        <v>188</v>
      </c>
      <c r="C17" s="683"/>
      <c r="D17" s="683"/>
      <c r="E17" s="683"/>
      <c r="F17" s="683"/>
      <c r="G17" s="683"/>
      <c r="H17" s="683"/>
      <c r="I17" s="683"/>
    </row>
    <row r="18" spans="1:9" s="225" customFormat="1" ht="16.5" customHeight="1">
      <c r="A18" s="225" t="s">
        <v>188</v>
      </c>
      <c r="C18" s="684" t="str">
        <f>Translation!B162</f>
        <v>Luminance Method for IES Standard</v>
      </c>
      <c r="D18" s="683"/>
      <c r="E18" s="683"/>
      <c r="F18" s="683"/>
      <c r="G18" s="684" t="str">
        <f>Translation!B163</f>
        <v>Luminance Method for CIE Standard</v>
      </c>
      <c r="H18" s="683"/>
      <c r="I18" s="683"/>
    </row>
    <row r="19" spans="1:9" s="225" customFormat="1">
      <c r="A19" s="225" t="s">
        <v>188</v>
      </c>
      <c r="C19" s="681" t="str">
        <f>Translation!B141</f>
        <v>Average Luminance Target (Lav)</v>
      </c>
      <c r="D19" s="36">
        <v>0.6</v>
      </c>
      <c r="E19" s="682" t="str">
        <f>Translation!B144</f>
        <v>cd/m2</v>
      </c>
      <c r="F19" s="683"/>
      <c r="G19" s="681" t="str">
        <f>Translation!B141</f>
        <v>Average Luminance Target (Lav)</v>
      </c>
      <c r="H19" s="600"/>
      <c r="I19" s="682" t="str">
        <f>Translation!B144</f>
        <v>cd/m2</v>
      </c>
    </row>
    <row r="20" spans="1:9" s="225" customFormat="1">
      <c r="A20" s="225" t="s">
        <v>188</v>
      </c>
      <c r="C20" s="685" t="str">
        <f>Translation!B175</f>
        <v>Uniformity Ratio (Lavg/Lmin)</v>
      </c>
      <c r="D20" s="302">
        <v>3</v>
      </c>
      <c r="E20" s="527" t="str">
        <f>Translation!B200</f>
        <v>unitless</v>
      </c>
      <c r="F20" s="683"/>
      <c r="G20" s="685" t="str">
        <f>Translation!B454</f>
        <v>Overall Uniformity (min/avg)</v>
      </c>
      <c r="H20" s="600"/>
      <c r="I20" s="527" t="str">
        <f>Translation!B200</f>
        <v>unitless</v>
      </c>
    </row>
    <row r="21" spans="1:9" s="225" customFormat="1" ht="45.75" customHeight="1">
      <c r="A21" s="225" t="s">
        <v>188</v>
      </c>
      <c r="C21" s="685" t="str">
        <f>Translation!B176</f>
        <v>Uniformity Ratio (Lmax/Lmin)</v>
      </c>
      <c r="D21" s="302">
        <v>6</v>
      </c>
      <c r="E21" s="527" t="str">
        <f>E20</f>
        <v>unitless</v>
      </c>
      <c r="F21" s="683"/>
      <c r="G21" s="685" t="str">
        <f>Translation!B455</f>
        <v>Longitudinal Uniformity (min/max)</v>
      </c>
      <c r="H21" s="600"/>
      <c r="I21" s="527" t="str">
        <f>I20</f>
        <v>unitless</v>
      </c>
    </row>
    <row r="22" spans="1:9" s="225" customFormat="1" ht="30" customHeight="1">
      <c r="A22" s="225" t="s">
        <v>188</v>
      </c>
      <c r="C22" s="866"/>
      <c r="D22" s="866"/>
      <c r="E22" s="866"/>
    </row>
    <row r="23" spans="1:9" s="225" customFormat="1">
      <c r="A23" s="225" t="s">
        <v>188</v>
      </c>
      <c r="C23" s="865"/>
      <c r="D23" s="865"/>
      <c r="E23" s="865"/>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188</v>
      </c>
    </row>
    <row r="34" spans="1:13" s="219" customFormat="1" ht="15.75">
      <c r="A34" s="219" t="s">
        <v>188</v>
      </c>
      <c r="B34" s="297" t="str">
        <f>Translation!B204</f>
        <v>View Description of a Standard Below:</v>
      </c>
    </row>
    <row r="35" spans="1:13" s="219" customFormat="1" ht="19.5" customHeight="1">
      <c r="A35" s="219" t="s">
        <v>188</v>
      </c>
      <c r="B35" s="298" t="str">
        <f>Translation!B349</f>
        <v>(for information only)</v>
      </c>
    </row>
    <row r="36" spans="1:13">
      <c r="A36" s="128" t="s">
        <v>187</v>
      </c>
    </row>
    <row r="37" spans="1:13" ht="18.75">
      <c r="A37" s="128" t="s">
        <v>187</v>
      </c>
      <c r="B37" s="720" t="str">
        <f>Translation!B156</f>
        <v>Illumination Engineering Society of North America (IESNA)</v>
      </c>
      <c r="C37" s="721"/>
      <c r="D37" s="721"/>
      <c r="E37" s="721"/>
      <c r="F37" s="721"/>
      <c r="G37" s="721"/>
      <c r="H37" s="721"/>
      <c r="I37" s="721"/>
      <c r="J37" s="721"/>
      <c r="K37" s="721"/>
      <c r="L37" s="721"/>
      <c r="M37" s="721"/>
    </row>
    <row r="38" spans="1:13">
      <c r="A38" s="128" t="s">
        <v>187</v>
      </c>
    </row>
    <row r="39" spans="1:13" ht="15" customHeight="1">
      <c r="A39" s="128" t="s">
        <v>187</v>
      </c>
      <c r="C39" s="867"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68"/>
      <c r="E39" s="868"/>
      <c r="F39" s="868"/>
      <c r="G39" s="868"/>
      <c r="H39" s="868"/>
      <c r="I39" s="868"/>
      <c r="J39" s="868"/>
      <c r="K39" s="868"/>
      <c r="L39" s="868"/>
      <c r="M39" s="869"/>
    </row>
    <row r="40" spans="1:13">
      <c r="A40" s="128" t="s">
        <v>187</v>
      </c>
      <c r="C40" s="870"/>
      <c r="D40" s="871"/>
      <c r="E40" s="871"/>
      <c r="F40" s="871"/>
      <c r="G40" s="871"/>
      <c r="H40" s="871"/>
      <c r="I40" s="871"/>
      <c r="J40" s="871"/>
      <c r="K40" s="871"/>
      <c r="L40" s="871"/>
      <c r="M40" s="872"/>
    </row>
    <row r="41" spans="1:13">
      <c r="A41" s="128" t="s">
        <v>187</v>
      </c>
      <c r="C41" s="870"/>
      <c r="D41" s="871"/>
      <c r="E41" s="871"/>
      <c r="F41" s="871"/>
      <c r="G41" s="871"/>
      <c r="H41" s="871"/>
      <c r="I41" s="871"/>
      <c r="J41" s="871"/>
      <c r="K41" s="871"/>
      <c r="L41" s="871"/>
      <c r="M41" s="872"/>
    </row>
    <row r="42" spans="1:13">
      <c r="A42" s="128" t="s">
        <v>187</v>
      </c>
      <c r="C42" s="870"/>
      <c r="D42" s="871"/>
      <c r="E42" s="871"/>
      <c r="F42" s="871"/>
      <c r="G42" s="871"/>
      <c r="H42" s="871"/>
      <c r="I42" s="871"/>
      <c r="J42" s="871"/>
      <c r="K42" s="871"/>
      <c r="L42" s="871"/>
      <c r="M42" s="872"/>
    </row>
    <row r="43" spans="1:13">
      <c r="A43" s="128" t="s">
        <v>187</v>
      </c>
      <c r="C43" s="870"/>
      <c r="D43" s="871"/>
      <c r="E43" s="871"/>
      <c r="F43" s="871"/>
      <c r="G43" s="871"/>
      <c r="H43" s="871"/>
      <c r="I43" s="871"/>
      <c r="J43" s="871"/>
      <c r="K43" s="871"/>
      <c r="L43" s="871"/>
      <c r="M43" s="872"/>
    </row>
    <row r="44" spans="1:13">
      <c r="A44" s="128" t="s">
        <v>187</v>
      </c>
      <c r="C44" s="870"/>
      <c r="D44" s="871"/>
      <c r="E44" s="871"/>
      <c r="F44" s="871"/>
      <c r="G44" s="871"/>
      <c r="H44" s="871"/>
      <c r="I44" s="871"/>
      <c r="J44" s="871"/>
      <c r="K44" s="871"/>
      <c r="L44" s="871"/>
      <c r="M44" s="872"/>
    </row>
    <row r="45" spans="1:13">
      <c r="A45" s="128" t="s">
        <v>187</v>
      </c>
      <c r="C45" s="870"/>
      <c r="D45" s="871"/>
      <c r="E45" s="871"/>
      <c r="F45" s="871"/>
      <c r="G45" s="871"/>
      <c r="H45" s="871"/>
      <c r="I45" s="871"/>
      <c r="J45" s="871"/>
      <c r="K45" s="871"/>
      <c r="L45" s="871"/>
      <c r="M45" s="872"/>
    </row>
    <row r="46" spans="1:13" ht="15" customHeight="1">
      <c r="A46" s="128" t="s">
        <v>187</v>
      </c>
      <c r="C46" s="870"/>
      <c r="D46" s="871"/>
      <c r="E46" s="871"/>
      <c r="F46" s="871"/>
      <c r="G46" s="871"/>
      <c r="H46" s="871"/>
      <c r="I46" s="871"/>
      <c r="J46" s="871"/>
      <c r="K46" s="871"/>
      <c r="L46" s="871"/>
      <c r="M46" s="872"/>
    </row>
    <row r="47" spans="1:13">
      <c r="A47" s="128" t="s">
        <v>187</v>
      </c>
      <c r="C47" s="870"/>
      <c r="D47" s="871"/>
      <c r="E47" s="871"/>
      <c r="F47" s="871"/>
      <c r="G47" s="871"/>
      <c r="H47" s="871"/>
      <c r="I47" s="871"/>
      <c r="J47" s="871"/>
      <c r="K47" s="871"/>
      <c r="L47" s="871"/>
      <c r="M47" s="872"/>
    </row>
    <row r="48" spans="1:13">
      <c r="A48" s="128" t="s">
        <v>187</v>
      </c>
      <c r="C48" s="870"/>
      <c r="D48" s="871"/>
      <c r="E48" s="871"/>
      <c r="F48" s="871"/>
      <c r="G48" s="871"/>
      <c r="H48" s="871"/>
      <c r="I48" s="871"/>
      <c r="J48" s="871"/>
      <c r="K48" s="871"/>
      <c r="L48" s="871"/>
      <c r="M48" s="872"/>
    </row>
    <row r="49" spans="1:13">
      <c r="A49" s="128" t="s">
        <v>187</v>
      </c>
      <c r="C49" s="870"/>
      <c r="D49" s="871"/>
      <c r="E49" s="871"/>
      <c r="F49" s="871"/>
      <c r="G49" s="871"/>
      <c r="H49" s="871"/>
      <c r="I49" s="871"/>
      <c r="J49" s="871"/>
      <c r="K49" s="871"/>
      <c r="L49" s="871"/>
      <c r="M49" s="872"/>
    </row>
    <row r="50" spans="1:13">
      <c r="A50" s="128" t="s">
        <v>187</v>
      </c>
      <c r="C50" s="870"/>
      <c r="D50" s="871"/>
      <c r="E50" s="871"/>
      <c r="F50" s="871"/>
      <c r="G50" s="871"/>
      <c r="H50" s="871"/>
      <c r="I50" s="871"/>
      <c r="J50" s="871"/>
      <c r="K50" s="871"/>
      <c r="L50" s="871"/>
      <c r="M50" s="872"/>
    </row>
    <row r="51" spans="1:13">
      <c r="A51" s="128" t="s">
        <v>187</v>
      </c>
      <c r="C51" s="870"/>
      <c r="D51" s="871"/>
      <c r="E51" s="871"/>
      <c r="F51" s="871"/>
      <c r="G51" s="871"/>
      <c r="H51" s="871"/>
      <c r="I51" s="871"/>
      <c r="J51" s="871"/>
      <c r="K51" s="871"/>
      <c r="L51" s="871"/>
      <c r="M51" s="872"/>
    </row>
    <row r="52" spans="1:13">
      <c r="A52" s="128" t="s">
        <v>187</v>
      </c>
      <c r="C52" s="873"/>
      <c r="D52" s="874"/>
      <c r="E52" s="874"/>
      <c r="F52" s="874"/>
      <c r="G52" s="874"/>
      <c r="H52" s="874"/>
      <c r="I52" s="874"/>
      <c r="J52" s="874"/>
      <c r="K52" s="874"/>
      <c r="L52" s="874"/>
      <c r="M52" s="875"/>
    </row>
    <row r="53" spans="1:13" ht="15.75" thickBot="1">
      <c r="A53" s="128" t="s">
        <v>187</v>
      </c>
    </row>
    <row r="54" spans="1:13" ht="15.75" thickBot="1">
      <c r="A54" s="128" t="s">
        <v>187</v>
      </c>
      <c r="C54" s="755" t="str">
        <f>Translation!B191</f>
        <v>Table 1: IESNA Illuminance Method - Recommended Values</v>
      </c>
      <c r="D54" s="756"/>
      <c r="E54" s="756"/>
      <c r="F54" s="756"/>
      <c r="G54" s="756"/>
      <c r="H54" s="756"/>
      <c r="I54" s="756"/>
      <c r="J54" s="756"/>
      <c r="K54" s="756"/>
      <c r="L54" s="756"/>
      <c r="M54" s="757"/>
    </row>
    <row r="55" spans="1:13" ht="15" customHeight="1">
      <c r="A55" s="128" t="s">
        <v>187</v>
      </c>
      <c r="C55" s="793" t="str">
        <f>Translation!B184</f>
        <v>Road and Pedestrian Conflict Area</v>
      </c>
      <c r="D55" s="794"/>
      <c r="E55" s="794"/>
      <c r="F55" s="795"/>
      <c r="G55" s="228"/>
      <c r="H55" s="229" t="str">
        <f>Translation!B154</f>
        <v>Illuminance Target (Iavg)</v>
      </c>
      <c r="I55" s="230"/>
      <c r="J55" s="824" t="str">
        <f>Translation!B199</f>
        <v>Uniformity Ratio Eavg/Emin</v>
      </c>
      <c r="K55" s="825"/>
      <c r="L55" s="818" t="str">
        <f>Translation!B201</f>
        <v>Veiling Luminance Ratio                   Lvmax/Lavg</v>
      </c>
      <c r="M55" s="819"/>
    </row>
    <row r="56" spans="1:13" ht="15" customHeight="1">
      <c r="A56" s="128" t="s">
        <v>187</v>
      </c>
      <c r="C56" s="796"/>
      <c r="D56" s="797"/>
      <c r="E56" s="797"/>
      <c r="F56" s="798"/>
      <c r="G56" s="787" t="str">
        <f>Translation!B179</f>
        <v>Pavement Classification
(Minimum Maintained Average Values)</v>
      </c>
      <c r="H56" s="788"/>
      <c r="I56" s="789"/>
      <c r="J56" s="826"/>
      <c r="K56" s="827"/>
      <c r="L56" s="820"/>
      <c r="M56" s="821"/>
    </row>
    <row r="57" spans="1:13">
      <c r="A57" s="128" t="s">
        <v>187</v>
      </c>
      <c r="C57" s="799"/>
      <c r="D57" s="800"/>
      <c r="E57" s="800"/>
      <c r="F57" s="801"/>
      <c r="G57" s="790"/>
      <c r="H57" s="791"/>
      <c r="I57" s="792"/>
      <c r="J57" s="826"/>
      <c r="K57" s="827"/>
      <c r="L57" s="820"/>
      <c r="M57" s="821"/>
    </row>
    <row r="58" spans="1:13" ht="15" customHeight="1">
      <c r="A58" s="128" t="s">
        <v>187</v>
      </c>
      <c r="C58" s="812" t="str">
        <f>Translation!B183</f>
        <v>Road</v>
      </c>
      <c r="D58" s="813"/>
      <c r="E58" s="806" t="str">
        <f>Translation!B180</f>
        <v>Pedestrian Conflict Areas</v>
      </c>
      <c r="F58" s="807"/>
      <c r="G58" s="816" t="s">
        <v>190</v>
      </c>
      <c r="H58" s="816" t="s">
        <v>191</v>
      </c>
      <c r="I58" s="816" t="s">
        <v>192</v>
      </c>
      <c r="J58" s="826"/>
      <c r="K58" s="827"/>
      <c r="L58" s="820"/>
      <c r="M58" s="821"/>
    </row>
    <row r="59" spans="1:13" ht="15.75" thickBot="1">
      <c r="A59" s="128" t="s">
        <v>187</v>
      </c>
      <c r="C59" s="814"/>
      <c r="D59" s="815"/>
      <c r="E59" s="808"/>
      <c r="F59" s="809"/>
      <c r="G59" s="817"/>
      <c r="H59" s="817"/>
      <c r="I59" s="817"/>
      <c r="J59" s="828"/>
      <c r="K59" s="829"/>
      <c r="L59" s="822"/>
      <c r="M59" s="823"/>
    </row>
    <row r="60" spans="1:13" ht="15" customHeight="1">
      <c r="A60" s="128" t="s">
        <v>187</v>
      </c>
      <c r="C60" s="810" t="str">
        <f>Translation!B148</f>
        <v>Freeway Class A</v>
      </c>
      <c r="D60" s="811"/>
      <c r="E60" s="764"/>
      <c r="F60" s="766"/>
      <c r="G60" s="231">
        <v>6</v>
      </c>
      <c r="H60" s="231">
        <v>9</v>
      </c>
      <c r="I60" s="231">
        <v>8</v>
      </c>
      <c r="J60" s="764">
        <v>3</v>
      </c>
      <c r="K60" s="766"/>
      <c r="L60" s="764">
        <v>0.3</v>
      </c>
      <c r="M60" s="803"/>
    </row>
    <row r="61" spans="1:13">
      <c r="A61" s="128" t="s">
        <v>187</v>
      </c>
      <c r="C61" s="804" t="str">
        <f>Translation!B149</f>
        <v>Freeway Class B</v>
      </c>
      <c r="D61" s="805"/>
      <c r="E61" s="737"/>
      <c r="F61" s="740"/>
      <c r="G61" s="232">
        <v>4</v>
      </c>
      <c r="H61" s="232">
        <v>6</v>
      </c>
      <c r="I61" s="232">
        <v>5</v>
      </c>
      <c r="J61" s="737">
        <v>3</v>
      </c>
      <c r="K61" s="740"/>
      <c r="L61" s="737">
        <v>0.3</v>
      </c>
      <c r="M61" s="738"/>
    </row>
    <row r="62" spans="1:13">
      <c r="A62" s="128" t="s">
        <v>187</v>
      </c>
      <c r="C62" s="741" t="str">
        <f>Translation!B147</f>
        <v>Expressway</v>
      </c>
      <c r="D62" s="742"/>
      <c r="E62" s="737" t="str">
        <f>Translation!B150</f>
        <v>High</v>
      </c>
      <c r="F62" s="740"/>
      <c r="G62" s="232">
        <v>10</v>
      </c>
      <c r="H62" s="232">
        <v>14</v>
      </c>
      <c r="I62" s="232">
        <v>13</v>
      </c>
      <c r="J62" s="737">
        <v>3</v>
      </c>
      <c r="K62" s="740"/>
      <c r="L62" s="737">
        <v>0.3</v>
      </c>
      <c r="M62" s="738"/>
    </row>
    <row r="63" spans="1:13">
      <c r="A63" s="128" t="s">
        <v>187</v>
      </c>
      <c r="C63" s="743"/>
      <c r="D63" s="744"/>
      <c r="E63" s="737" t="str">
        <f>Translation!B288</f>
        <v>Medium</v>
      </c>
      <c r="F63" s="740"/>
      <c r="G63" s="232">
        <v>8</v>
      </c>
      <c r="H63" s="232">
        <v>12</v>
      </c>
      <c r="I63" s="232">
        <v>10</v>
      </c>
      <c r="J63" s="737">
        <v>3</v>
      </c>
      <c r="K63" s="740"/>
      <c r="L63" s="737">
        <v>0.3</v>
      </c>
      <c r="M63" s="738"/>
    </row>
    <row r="64" spans="1:13">
      <c r="A64" s="128" t="s">
        <v>187</v>
      </c>
      <c r="C64" s="785"/>
      <c r="D64" s="786"/>
      <c r="E64" s="737" t="str">
        <f>Translation!B160</f>
        <v>Low</v>
      </c>
      <c r="F64" s="740"/>
      <c r="G64" s="232">
        <v>6</v>
      </c>
      <c r="H64" s="232">
        <v>9</v>
      </c>
      <c r="I64" s="232">
        <v>8</v>
      </c>
      <c r="J64" s="737">
        <v>3</v>
      </c>
      <c r="K64" s="740"/>
      <c r="L64" s="737">
        <v>0.3</v>
      </c>
      <c r="M64" s="738"/>
    </row>
    <row r="65" spans="1:14">
      <c r="A65" s="128" t="s">
        <v>187</v>
      </c>
      <c r="C65" s="741" t="str">
        <f>Translation!B165</f>
        <v>Major</v>
      </c>
      <c r="D65" s="742"/>
      <c r="E65" s="737" t="str">
        <f>Translation!B150</f>
        <v>High</v>
      </c>
      <c r="F65" s="740"/>
      <c r="G65" s="232">
        <v>12</v>
      </c>
      <c r="H65" s="232">
        <v>17</v>
      </c>
      <c r="I65" s="232">
        <v>15</v>
      </c>
      <c r="J65" s="737">
        <v>3</v>
      </c>
      <c r="K65" s="740"/>
      <c r="L65" s="737">
        <v>0.3</v>
      </c>
      <c r="M65" s="738"/>
    </row>
    <row r="66" spans="1:14">
      <c r="A66" s="128" t="s">
        <v>187</v>
      </c>
      <c r="C66" s="743"/>
      <c r="D66" s="744"/>
      <c r="E66" s="737" t="str">
        <f>Translation!B288</f>
        <v>Medium</v>
      </c>
      <c r="F66" s="740"/>
      <c r="G66" s="232">
        <v>9</v>
      </c>
      <c r="H66" s="232">
        <v>13</v>
      </c>
      <c r="I66" s="232">
        <v>11</v>
      </c>
      <c r="J66" s="737">
        <v>3</v>
      </c>
      <c r="K66" s="740"/>
      <c r="L66" s="737">
        <v>0.3</v>
      </c>
      <c r="M66" s="738"/>
    </row>
    <row r="67" spans="1:14">
      <c r="A67" s="128" t="s">
        <v>187</v>
      </c>
      <c r="C67" s="785"/>
      <c r="D67" s="786"/>
      <c r="E67" s="737" t="str">
        <f>Translation!B160</f>
        <v>Low</v>
      </c>
      <c r="F67" s="740"/>
      <c r="G67" s="232">
        <v>6</v>
      </c>
      <c r="H67" s="232">
        <v>9</v>
      </c>
      <c r="I67" s="232">
        <v>8</v>
      </c>
      <c r="J67" s="737">
        <v>3</v>
      </c>
      <c r="K67" s="740"/>
      <c r="L67" s="737">
        <v>0.3</v>
      </c>
      <c r="M67" s="738"/>
    </row>
    <row r="68" spans="1:14">
      <c r="A68" s="128" t="s">
        <v>187</v>
      </c>
      <c r="C68" s="741" t="str">
        <f>Translation!B145</f>
        <v>Collector</v>
      </c>
      <c r="D68" s="742"/>
      <c r="E68" s="737" t="str">
        <f>Translation!B150</f>
        <v>High</v>
      </c>
      <c r="F68" s="740"/>
      <c r="G68" s="232">
        <v>8</v>
      </c>
      <c r="H68" s="232">
        <v>12</v>
      </c>
      <c r="I68" s="232">
        <v>10</v>
      </c>
      <c r="J68" s="737">
        <v>4</v>
      </c>
      <c r="K68" s="740"/>
      <c r="L68" s="737">
        <v>0.4</v>
      </c>
      <c r="M68" s="738"/>
    </row>
    <row r="69" spans="1:14">
      <c r="A69" s="128" t="s">
        <v>187</v>
      </c>
      <c r="C69" s="743"/>
      <c r="D69" s="744"/>
      <c r="E69" s="737" t="str">
        <f>Translation!B288</f>
        <v>Medium</v>
      </c>
      <c r="F69" s="740"/>
      <c r="G69" s="232">
        <v>6</v>
      </c>
      <c r="H69" s="232">
        <v>9</v>
      </c>
      <c r="I69" s="232">
        <v>8</v>
      </c>
      <c r="J69" s="737">
        <v>4</v>
      </c>
      <c r="K69" s="740"/>
      <c r="L69" s="737">
        <v>0.4</v>
      </c>
      <c r="M69" s="738"/>
    </row>
    <row r="70" spans="1:14">
      <c r="A70" s="128" t="s">
        <v>187</v>
      </c>
      <c r="C70" s="785"/>
      <c r="D70" s="786"/>
      <c r="E70" s="737" t="str">
        <f>Translation!B160</f>
        <v>Low</v>
      </c>
      <c r="F70" s="740"/>
      <c r="G70" s="232">
        <v>4</v>
      </c>
      <c r="H70" s="232">
        <v>6</v>
      </c>
      <c r="I70" s="232">
        <v>5</v>
      </c>
      <c r="J70" s="737">
        <v>4</v>
      </c>
      <c r="K70" s="740"/>
      <c r="L70" s="737">
        <v>0.4</v>
      </c>
      <c r="M70" s="738"/>
    </row>
    <row r="71" spans="1:14">
      <c r="A71" s="128" t="s">
        <v>187</v>
      </c>
      <c r="C71" s="741" t="str">
        <f>Translation!B159</f>
        <v>Local</v>
      </c>
      <c r="D71" s="742"/>
      <c r="E71" s="737" t="str">
        <f>Translation!B150</f>
        <v>High</v>
      </c>
      <c r="F71" s="740"/>
      <c r="G71" s="232">
        <v>6</v>
      </c>
      <c r="H71" s="232">
        <v>9</v>
      </c>
      <c r="I71" s="232">
        <v>8</v>
      </c>
      <c r="J71" s="737">
        <v>6</v>
      </c>
      <c r="K71" s="740"/>
      <c r="L71" s="737">
        <v>0.4</v>
      </c>
      <c r="M71" s="738"/>
    </row>
    <row r="72" spans="1:14">
      <c r="A72" s="128" t="s">
        <v>187</v>
      </c>
      <c r="C72" s="743"/>
      <c r="D72" s="744"/>
      <c r="E72" s="737" t="str">
        <f>Translation!B288</f>
        <v>Medium</v>
      </c>
      <c r="F72" s="740"/>
      <c r="G72" s="232">
        <v>5</v>
      </c>
      <c r="H72" s="232">
        <v>7</v>
      </c>
      <c r="I72" s="232">
        <v>6</v>
      </c>
      <c r="J72" s="737">
        <v>6</v>
      </c>
      <c r="K72" s="740"/>
      <c r="L72" s="737">
        <v>0.4</v>
      </c>
      <c r="M72" s="738"/>
    </row>
    <row r="73" spans="1:14" ht="15.75" thickBot="1">
      <c r="A73" s="128" t="s">
        <v>187</v>
      </c>
      <c r="C73" s="745"/>
      <c r="D73" s="746"/>
      <c r="E73" s="747" t="str">
        <f>Translation!B160</f>
        <v>Low</v>
      </c>
      <c r="F73" s="748"/>
      <c r="G73" s="233">
        <v>3</v>
      </c>
      <c r="H73" s="233">
        <v>4</v>
      </c>
      <c r="I73" s="233">
        <v>4</v>
      </c>
      <c r="J73" s="747">
        <v>6</v>
      </c>
      <c r="K73" s="748"/>
      <c r="L73" s="747">
        <v>0.4</v>
      </c>
      <c r="M73" s="736"/>
    </row>
    <row r="74" spans="1:14" ht="15.75" thickBot="1">
      <c r="A74" s="128" t="s">
        <v>187</v>
      </c>
    </row>
    <row r="75" spans="1:14" ht="15" customHeight="1" thickBot="1">
      <c r="A75" s="128" t="s">
        <v>187</v>
      </c>
      <c r="C75" s="755" t="str">
        <f>Translation!B287</f>
        <v>Table 2: IESNA Luminance Method - Recommended Values</v>
      </c>
      <c r="D75" s="756"/>
      <c r="E75" s="756"/>
      <c r="F75" s="756"/>
      <c r="G75" s="756"/>
      <c r="H75" s="756"/>
      <c r="I75" s="756"/>
      <c r="J75" s="756"/>
      <c r="K75" s="756"/>
      <c r="L75" s="756"/>
      <c r="M75" s="756"/>
      <c r="N75" s="757"/>
    </row>
    <row r="76" spans="1:14" ht="15" customHeight="1">
      <c r="A76" s="128" t="s">
        <v>187</v>
      </c>
      <c r="C76" s="793" t="str">
        <f>Translation!B184</f>
        <v>Road and Pedestrian Conflict Area</v>
      </c>
      <c r="D76" s="794"/>
      <c r="E76" s="794"/>
      <c r="F76" s="795"/>
      <c r="G76" s="850" t="s">
        <v>347</v>
      </c>
      <c r="H76" s="795"/>
      <c r="I76" s="824" t="s">
        <v>348</v>
      </c>
      <c r="J76" s="825"/>
      <c r="K76" s="853" t="s">
        <v>349</v>
      </c>
      <c r="L76" s="854"/>
      <c r="M76" s="830" t="s">
        <v>350</v>
      </c>
      <c r="N76" s="831"/>
    </row>
    <row r="77" spans="1:14">
      <c r="A77" s="128" t="s">
        <v>187</v>
      </c>
      <c r="C77" s="796"/>
      <c r="D77" s="797"/>
      <c r="E77" s="797"/>
      <c r="F77" s="798"/>
      <c r="G77" s="851"/>
      <c r="H77" s="798"/>
      <c r="I77" s="826"/>
      <c r="J77" s="827"/>
      <c r="K77" s="855"/>
      <c r="L77" s="856"/>
      <c r="M77" s="832"/>
      <c r="N77" s="833"/>
    </row>
    <row r="78" spans="1:14" ht="15" customHeight="1">
      <c r="A78" s="128" t="s">
        <v>187</v>
      </c>
      <c r="C78" s="799"/>
      <c r="D78" s="800"/>
      <c r="E78" s="800"/>
      <c r="F78" s="801"/>
      <c r="G78" s="851"/>
      <c r="H78" s="798"/>
      <c r="I78" s="826"/>
      <c r="J78" s="827"/>
      <c r="K78" s="855"/>
      <c r="L78" s="856"/>
      <c r="M78" s="832"/>
      <c r="N78" s="833"/>
    </row>
    <row r="79" spans="1:14" ht="15" customHeight="1">
      <c r="A79" s="128" t="s">
        <v>187</v>
      </c>
      <c r="C79" s="812" t="str">
        <f>Translation!B183</f>
        <v>Road</v>
      </c>
      <c r="D79" s="813"/>
      <c r="E79" s="806" t="str">
        <f>Translation!B180</f>
        <v>Pedestrian Conflict Areas</v>
      </c>
      <c r="F79" s="807"/>
      <c r="G79" s="851"/>
      <c r="H79" s="798"/>
      <c r="I79" s="826"/>
      <c r="J79" s="827"/>
      <c r="K79" s="855"/>
      <c r="L79" s="856"/>
      <c r="M79" s="832"/>
      <c r="N79" s="833"/>
    </row>
    <row r="80" spans="1:14" ht="15.75" thickBot="1">
      <c r="A80" s="128" t="s">
        <v>187</v>
      </c>
      <c r="C80" s="814"/>
      <c r="D80" s="815"/>
      <c r="E80" s="808"/>
      <c r="F80" s="809"/>
      <c r="G80" s="852"/>
      <c r="H80" s="815"/>
      <c r="I80" s="828"/>
      <c r="J80" s="829"/>
      <c r="K80" s="857"/>
      <c r="L80" s="858"/>
      <c r="M80" s="834"/>
      <c r="N80" s="835"/>
    </row>
    <row r="81" spans="1:14">
      <c r="A81" s="128" t="s">
        <v>187</v>
      </c>
      <c r="C81" s="810" t="str">
        <f>Translation!B148</f>
        <v>Freeway Class A</v>
      </c>
      <c r="D81" s="811"/>
      <c r="E81" s="764"/>
      <c r="F81" s="766"/>
      <c r="G81" s="764">
        <v>0.6</v>
      </c>
      <c r="H81" s="766"/>
      <c r="I81" s="764">
        <v>3.5</v>
      </c>
      <c r="J81" s="766"/>
      <c r="K81" s="764">
        <v>6</v>
      </c>
      <c r="L81" s="803"/>
      <c r="M81" s="802">
        <v>0.3</v>
      </c>
      <c r="N81" s="803"/>
    </row>
    <row r="82" spans="1:14">
      <c r="A82" s="128" t="s">
        <v>187</v>
      </c>
      <c r="C82" s="804" t="str">
        <f>Translation!B149</f>
        <v>Freeway Class B</v>
      </c>
      <c r="D82" s="805"/>
      <c r="E82" s="737"/>
      <c r="F82" s="740"/>
      <c r="G82" s="737">
        <v>0.4</v>
      </c>
      <c r="H82" s="740"/>
      <c r="I82" s="737">
        <v>3.5</v>
      </c>
      <c r="J82" s="740"/>
      <c r="K82" s="737">
        <v>6</v>
      </c>
      <c r="L82" s="738"/>
      <c r="M82" s="739">
        <v>0.3</v>
      </c>
      <c r="N82" s="738"/>
    </row>
    <row r="83" spans="1:14">
      <c r="A83" s="128" t="s">
        <v>187</v>
      </c>
      <c r="C83" s="741" t="str">
        <f>Translation!B147</f>
        <v>Expressway</v>
      </c>
      <c r="D83" s="742"/>
      <c r="E83" s="737" t="str">
        <f>Translation!B150</f>
        <v>High</v>
      </c>
      <c r="F83" s="740"/>
      <c r="G83" s="737">
        <v>1</v>
      </c>
      <c r="H83" s="740"/>
      <c r="I83" s="737">
        <v>3</v>
      </c>
      <c r="J83" s="740"/>
      <c r="K83" s="737">
        <v>5</v>
      </c>
      <c r="L83" s="738"/>
      <c r="M83" s="739">
        <v>0.3</v>
      </c>
      <c r="N83" s="738"/>
    </row>
    <row r="84" spans="1:14">
      <c r="A84" s="128" t="s">
        <v>187</v>
      </c>
      <c r="C84" s="743"/>
      <c r="D84" s="744"/>
      <c r="E84" s="737" t="str">
        <f>Translation!B288</f>
        <v>Medium</v>
      </c>
      <c r="F84" s="740"/>
      <c r="G84" s="737">
        <v>0.8</v>
      </c>
      <c r="H84" s="740"/>
      <c r="I84" s="737">
        <v>3</v>
      </c>
      <c r="J84" s="740"/>
      <c r="K84" s="737">
        <v>5</v>
      </c>
      <c r="L84" s="738"/>
      <c r="M84" s="739">
        <v>0.3</v>
      </c>
      <c r="N84" s="738"/>
    </row>
    <row r="85" spans="1:14">
      <c r="A85" s="128" t="s">
        <v>187</v>
      </c>
      <c r="C85" s="785"/>
      <c r="D85" s="786"/>
      <c r="E85" s="737" t="str">
        <f>Translation!B160</f>
        <v>Low</v>
      </c>
      <c r="F85" s="740"/>
      <c r="G85" s="737">
        <v>0.6</v>
      </c>
      <c r="H85" s="740"/>
      <c r="I85" s="737">
        <v>3.5</v>
      </c>
      <c r="J85" s="740"/>
      <c r="K85" s="737">
        <v>6</v>
      </c>
      <c r="L85" s="738"/>
      <c r="M85" s="739">
        <v>0.3</v>
      </c>
      <c r="N85" s="738"/>
    </row>
    <row r="86" spans="1:14">
      <c r="A86" s="128" t="s">
        <v>187</v>
      </c>
      <c r="C86" s="741" t="str">
        <f>Translation!B165</f>
        <v>Major</v>
      </c>
      <c r="D86" s="742"/>
      <c r="E86" s="737" t="str">
        <f>Translation!B150</f>
        <v>High</v>
      </c>
      <c r="F86" s="740"/>
      <c r="G86" s="737">
        <v>1.2</v>
      </c>
      <c r="H86" s="740"/>
      <c r="I86" s="737">
        <v>3</v>
      </c>
      <c r="J86" s="740"/>
      <c r="K86" s="737">
        <v>5</v>
      </c>
      <c r="L86" s="738"/>
      <c r="M86" s="739">
        <v>0.3</v>
      </c>
      <c r="N86" s="738"/>
    </row>
    <row r="87" spans="1:14">
      <c r="A87" s="128" t="s">
        <v>187</v>
      </c>
      <c r="C87" s="743"/>
      <c r="D87" s="744"/>
      <c r="E87" s="737" t="str">
        <f>Translation!B288</f>
        <v>Medium</v>
      </c>
      <c r="F87" s="740"/>
      <c r="G87" s="737">
        <v>0.9</v>
      </c>
      <c r="H87" s="740"/>
      <c r="I87" s="737">
        <v>3</v>
      </c>
      <c r="J87" s="740"/>
      <c r="K87" s="737">
        <v>5</v>
      </c>
      <c r="L87" s="738"/>
      <c r="M87" s="739">
        <v>0.3</v>
      </c>
      <c r="N87" s="738"/>
    </row>
    <row r="88" spans="1:14">
      <c r="A88" s="128" t="s">
        <v>187</v>
      </c>
      <c r="C88" s="785"/>
      <c r="D88" s="786"/>
      <c r="E88" s="737" t="str">
        <f>Translation!B160</f>
        <v>Low</v>
      </c>
      <c r="F88" s="740"/>
      <c r="G88" s="737">
        <v>0.6</v>
      </c>
      <c r="H88" s="740"/>
      <c r="I88" s="737">
        <v>3.5</v>
      </c>
      <c r="J88" s="740"/>
      <c r="K88" s="737">
        <v>6</v>
      </c>
      <c r="L88" s="738"/>
      <c r="M88" s="739">
        <v>0.3</v>
      </c>
      <c r="N88" s="738"/>
    </row>
    <row r="89" spans="1:14">
      <c r="A89" s="128" t="s">
        <v>187</v>
      </c>
      <c r="C89" s="741" t="str">
        <f>Translation!B145</f>
        <v>Collector</v>
      </c>
      <c r="D89" s="742"/>
      <c r="E89" s="737" t="str">
        <f>Translation!B150</f>
        <v>High</v>
      </c>
      <c r="F89" s="740"/>
      <c r="G89" s="737">
        <v>0.8</v>
      </c>
      <c r="H89" s="740"/>
      <c r="I89" s="737">
        <v>3</v>
      </c>
      <c r="J89" s="740"/>
      <c r="K89" s="737">
        <v>5</v>
      </c>
      <c r="L89" s="738"/>
      <c r="M89" s="739">
        <v>0.4</v>
      </c>
      <c r="N89" s="738"/>
    </row>
    <row r="90" spans="1:14">
      <c r="A90" s="128" t="s">
        <v>187</v>
      </c>
      <c r="C90" s="743"/>
      <c r="D90" s="744"/>
      <c r="E90" s="737" t="str">
        <f>Translation!B288</f>
        <v>Medium</v>
      </c>
      <c r="F90" s="740"/>
      <c r="G90" s="737">
        <v>0.6</v>
      </c>
      <c r="H90" s="740"/>
      <c r="I90" s="737">
        <v>3.5</v>
      </c>
      <c r="J90" s="740"/>
      <c r="K90" s="737">
        <v>6</v>
      </c>
      <c r="L90" s="738"/>
      <c r="M90" s="739">
        <v>0.4</v>
      </c>
      <c r="N90" s="738"/>
    </row>
    <row r="91" spans="1:14">
      <c r="A91" s="128" t="s">
        <v>187</v>
      </c>
      <c r="C91" s="785"/>
      <c r="D91" s="786"/>
      <c r="E91" s="737" t="str">
        <f>Translation!B160</f>
        <v>Low</v>
      </c>
      <c r="F91" s="740"/>
      <c r="G91" s="737">
        <v>0.4</v>
      </c>
      <c r="H91" s="740"/>
      <c r="I91" s="737">
        <v>4</v>
      </c>
      <c r="J91" s="740"/>
      <c r="K91" s="737">
        <v>8</v>
      </c>
      <c r="L91" s="738"/>
      <c r="M91" s="739">
        <v>0.4</v>
      </c>
      <c r="N91" s="738"/>
    </row>
    <row r="92" spans="1:14">
      <c r="A92" s="128" t="s">
        <v>187</v>
      </c>
      <c r="C92" s="741" t="str">
        <f>Translation!B159</f>
        <v>Local</v>
      </c>
      <c r="D92" s="742"/>
      <c r="E92" s="737" t="str">
        <f>Translation!B150</f>
        <v>High</v>
      </c>
      <c r="F92" s="740"/>
      <c r="G92" s="737">
        <v>0.6</v>
      </c>
      <c r="H92" s="740"/>
      <c r="I92" s="737">
        <v>6</v>
      </c>
      <c r="J92" s="740"/>
      <c r="K92" s="737">
        <v>10</v>
      </c>
      <c r="L92" s="738"/>
      <c r="M92" s="739">
        <v>0.4</v>
      </c>
      <c r="N92" s="738"/>
    </row>
    <row r="93" spans="1:14">
      <c r="A93" s="128" t="s">
        <v>187</v>
      </c>
      <c r="C93" s="743"/>
      <c r="D93" s="744"/>
      <c r="E93" s="737" t="str">
        <f>Translation!B288</f>
        <v>Medium</v>
      </c>
      <c r="F93" s="740"/>
      <c r="G93" s="737">
        <v>0.5</v>
      </c>
      <c r="H93" s="740"/>
      <c r="I93" s="737">
        <v>6</v>
      </c>
      <c r="J93" s="740"/>
      <c r="K93" s="737">
        <v>10</v>
      </c>
      <c r="L93" s="738"/>
      <c r="M93" s="739">
        <v>0.4</v>
      </c>
      <c r="N93" s="738"/>
    </row>
    <row r="94" spans="1:14" ht="15.75" thickBot="1">
      <c r="A94" s="128" t="s">
        <v>187</v>
      </c>
      <c r="C94" s="745"/>
      <c r="D94" s="746"/>
      <c r="E94" s="747" t="str">
        <f>Translation!B160</f>
        <v>Low</v>
      </c>
      <c r="F94" s="748"/>
      <c r="G94" s="747">
        <v>0.3</v>
      </c>
      <c r="H94" s="748"/>
      <c r="I94" s="747">
        <v>6</v>
      </c>
      <c r="J94" s="748"/>
      <c r="K94" s="747">
        <v>10</v>
      </c>
      <c r="L94" s="736"/>
      <c r="M94" s="735">
        <v>0.4</v>
      </c>
      <c r="N94" s="736"/>
    </row>
    <row r="95" spans="1:14">
      <c r="A95" s="128" t="s">
        <v>187</v>
      </c>
    </row>
    <row r="96" spans="1:14" ht="15" customHeight="1">
      <c r="A96" s="128" t="s">
        <v>187</v>
      </c>
      <c r="C96" s="867"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68"/>
      <c r="E96" s="868"/>
      <c r="F96" s="868"/>
      <c r="G96" s="868"/>
      <c r="H96" s="868"/>
      <c r="I96" s="868"/>
      <c r="J96" s="868"/>
      <c r="K96" s="868"/>
      <c r="L96" s="868"/>
      <c r="M96" s="869"/>
    </row>
    <row r="97" spans="1:13">
      <c r="A97" s="128" t="s">
        <v>187</v>
      </c>
      <c r="C97" s="870"/>
      <c r="D97" s="871"/>
      <c r="E97" s="871"/>
      <c r="F97" s="871"/>
      <c r="G97" s="871"/>
      <c r="H97" s="871"/>
      <c r="I97" s="871"/>
      <c r="J97" s="871"/>
      <c r="K97" s="871"/>
      <c r="L97" s="871"/>
      <c r="M97" s="872"/>
    </row>
    <row r="98" spans="1:13">
      <c r="A98" s="128" t="s">
        <v>187</v>
      </c>
      <c r="C98" s="870"/>
      <c r="D98" s="871"/>
      <c r="E98" s="871"/>
      <c r="F98" s="871"/>
      <c r="G98" s="871"/>
      <c r="H98" s="871"/>
      <c r="I98" s="871"/>
      <c r="J98" s="871"/>
      <c r="K98" s="871"/>
      <c r="L98" s="871"/>
      <c r="M98" s="872"/>
    </row>
    <row r="99" spans="1:13">
      <c r="A99" s="128" t="s">
        <v>187</v>
      </c>
      <c r="C99" s="870"/>
      <c r="D99" s="871"/>
      <c r="E99" s="871"/>
      <c r="F99" s="871"/>
      <c r="G99" s="871"/>
      <c r="H99" s="871"/>
      <c r="I99" s="871"/>
      <c r="J99" s="871"/>
      <c r="K99" s="871"/>
      <c r="L99" s="871"/>
      <c r="M99" s="872"/>
    </row>
    <row r="100" spans="1:13">
      <c r="A100" s="128" t="s">
        <v>187</v>
      </c>
      <c r="C100" s="870"/>
      <c r="D100" s="871"/>
      <c r="E100" s="871"/>
      <c r="F100" s="871"/>
      <c r="G100" s="871"/>
      <c r="H100" s="871"/>
      <c r="I100" s="871"/>
      <c r="J100" s="871"/>
      <c r="K100" s="871"/>
      <c r="L100" s="871"/>
      <c r="M100" s="872"/>
    </row>
    <row r="101" spans="1:13">
      <c r="A101" s="128" t="s">
        <v>187</v>
      </c>
      <c r="C101" s="870"/>
      <c r="D101" s="871"/>
      <c r="E101" s="871"/>
      <c r="F101" s="871"/>
      <c r="G101" s="871"/>
      <c r="H101" s="871"/>
      <c r="I101" s="871"/>
      <c r="J101" s="871"/>
      <c r="K101" s="871"/>
      <c r="L101" s="871"/>
      <c r="M101" s="872"/>
    </row>
    <row r="102" spans="1:13">
      <c r="A102" s="128" t="s">
        <v>187</v>
      </c>
      <c r="C102" s="870"/>
      <c r="D102" s="871"/>
      <c r="E102" s="871"/>
      <c r="F102" s="871"/>
      <c r="G102" s="871"/>
      <c r="H102" s="871"/>
      <c r="I102" s="871"/>
      <c r="J102" s="871"/>
      <c r="K102" s="871"/>
      <c r="L102" s="871"/>
      <c r="M102" s="872"/>
    </row>
    <row r="103" spans="1:13">
      <c r="A103" s="128" t="s">
        <v>187</v>
      </c>
      <c r="C103" s="870"/>
      <c r="D103" s="871"/>
      <c r="E103" s="871"/>
      <c r="F103" s="871"/>
      <c r="G103" s="871"/>
      <c r="H103" s="871"/>
      <c r="I103" s="871"/>
      <c r="J103" s="871"/>
      <c r="K103" s="871"/>
      <c r="L103" s="871"/>
      <c r="M103" s="872"/>
    </row>
    <row r="104" spans="1:13">
      <c r="A104" s="128" t="s">
        <v>187</v>
      </c>
      <c r="C104" s="870"/>
      <c r="D104" s="871"/>
      <c r="E104" s="871"/>
      <c r="F104" s="871"/>
      <c r="G104" s="871"/>
      <c r="H104" s="871"/>
      <c r="I104" s="871"/>
      <c r="J104" s="871"/>
      <c r="K104" s="871"/>
      <c r="L104" s="871"/>
      <c r="M104" s="872"/>
    </row>
    <row r="105" spans="1:13">
      <c r="A105" s="128" t="s">
        <v>187</v>
      </c>
      <c r="C105" s="870"/>
      <c r="D105" s="871"/>
      <c r="E105" s="871"/>
      <c r="F105" s="871"/>
      <c r="G105" s="871"/>
      <c r="H105" s="871"/>
      <c r="I105" s="871"/>
      <c r="J105" s="871"/>
      <c r="K105" s="871"/>
      <c r="L105" s="871"/>
      <c r="M105" s="872"/>
    </row>
    <row r="106" spans="1:13">
      <c r="A106" s="128" t="s">
        <v>187</v>
      </c>
      <c r="C106" s="870"/>
      <c r="D106" s="871"/>
      <c r="E106" s="871"/>
      <c r="F106" s="871"/>
      <c r="G106" s="871"/>
      <c r="H106" s="871"/>
      <c r="I106" s="871"/>
      <c r="J106" s="871"/>
      <c r="K106" s="871"/>
      <c r="L106" s="871"/>
      <c r="M106" s="872"/>
    </row>
    <row r="107" spans="1:13">
      <c r="A107" s="128" t="s">
        <v>187</v>
      </c>
      <c r="C107" s="870"/>
      <c r="D107" s="871"/>
      <c r="E107" s="871"/>
      <c r="F107" s="871"/>
      <c r="G107" s="871"/>
      <c r="H107" s="871"/>
      <c r="I107" s="871"/>
      <c r="J107" s="871"/>
      <c r="K107" s="871"/>
      <c r="L107" s="871"/>
      <c r="M107" s="872"/>
    </row>
    <row r="108" spans="1:13">
      <c r="A108" s="128" t="s">
        <v>187</v>
      </c>
      <c r="C108" s="870"/>
      <c r="D108" s="871"/>
      <c r="E108" s="871"/>
      <c r="F108" s="871"/>
      <c r="G108" s="871"/>
      <c r="H108" s="871"/>
      <c r="I108" s="871"/>
      <c r="J108" s="871"/>
      <c r="K108" s="871"/>
      <c r="L108" s="871"/>
      <c r="M108" s="872"/>
    </row>
    <row r="109" spans="1:13">
      <c r="A109" s="128" t="s">
        <v>187</v>
      </c>
      <c r="C109" s="870"/>
      <c r="D109" s="871"/>
      <c r="E109" s="871"/>
      <c r="F109" s="871"/>
      <c r="G109" s="871"/>
      <c r="H109" s="871"/>
      <c r="I109" s="871"/>
      <c r="J109" s="871"/>
      <c r="K109" s="871"/>
      <c r="L109" s="871"/>
      <c r="M109" s="872"/>
    </row>
    <row r="110" spans="1:13">
      <c r="A110" s="128" t="s">
        <v>187</v>
      </c>
      <c r="C110" s="870"/>
      <c r="D110" s="871"/>
      <c r="E110" s="871"/>
      <c r="F110" s="871"/>
      <c r="G110" s="871"/>
      <c r="H110" s="871"/>
      <c r="I110" s="871"/>
      <c r="J110" s="871"/>
      <c r="K110" s="871"/>
      <c r="L110" s="871"/>
      <c r="M110" s="872"/>
    </row>
    <row r="111" spans="1:13">
      <c r="A111" s="128" t="s">
        <v>187</v>
      </c>
      <c r="C111" s="870"/>
      <c r="D111" s="871"/>
      <c r="E111" s="871"/>
      <c r="F111" s="871"/>
      <c r="G111" s="871"/>
      <c r="H111" s="871"/>
      <c r="I111" s="871"/>
      <c r="J111" s="871"/>
      <c r="K111" s="871"/>
      <c r="L111" s="871"/>
      <c r="M111" s="872"/>
    </row>
    <row r="112" spans="1:13">
      <c r="A112" s="128" t="s">
        <v>187</v>
      </c>
      <c r="C112" s="870"/>
      <c r="D112" s="871"/>
      <c r="E112" s="871"/>
      <c r="F112" s="871"/>
      <c r="G112" s="871"/>
      <c r="H112" s="871"/>
      <c r="I112" s="871"/>
      <c r="J112" s="871"/>
      <c r="K112" s="871"/>
      <c r="L112" s="871"/>
      <c r="M112" s="872"/>
    </row>
    <row r="113" spans="1:13">
      <c r="A113" s="128" t="s">
        <v>187</v>
      </c>
      <c r="C113" s="870"/>
      <c r="D113" s="871"/>
      <c r="E113" s="871"/>
      <c r="F113" s="871"/>
      <c r="G113" s="871"/>
      <c r="H113" s="871"/>
      <c r="I113" s="871"/>
      <c r="J113" s="871"/>
      <c r="K113" s="871"/>
      <c r="L113" s="871"/>
      <c r="M113" s="872"/>
    </row>
    <row r="114" spans="1:13">
      <c r="A114" s="128" t="s">
        <v>187</v>
      </c>
      <c r="C114" s="870"/>
      <c r="D114" s="871"/>
      <c r="E114" s="871"/>
      <c r="F114" s="871"/>
      <c r="G114" s="871"/>
      <c r="H114" s="871"/>
      <c r="I114" s="871"/>
      <c r="J114" s="871"/>
      <c r="K114" s="871"/>
      <c r="L114" s="871"/>
      <c r="M114" s="872"/>
    </row>
    <row r="115" spans="1:13">
      <c r="A115" s="128" t="s">
        <v>187</v>
      </c>
      <c r="C115" s="870"/>
      <c r="D115" s="871"/>
      <c r="E115" s="871"/>
      <c r="F115" s="871"/>
      <c r="G115" s="871"/>
      <c r="H115" s="871"/>
      <c r="I115" s="871"/>
      <c r="J115" s="871"/>
      <c r="K115" s="871"/>
      <c r="L115" s="871"/>
      <c r="M115" s="872"/>
    </row>
    <row r="116" spans="1:13">
      <c r="A116" s="128" t="s">
        <v>187</v>
      </c>
      <c r="C116" s="870"/>
      <c r="D116" s="871"/>
      <c r="E116" s="871"/>
      <c r="F116" s="871"/>
      <c r="G116" s="871"/>
      <c r="H116" s="871"/>
      <c r="I116" s="871"/>
      <c r="J116" s="871"/>
      <c r="K116" s="871"/>
      <c r="L116" s="871"/>
      <c r="M116" s="872"/>
    </row>
    <row r="117" spans="1:13">
      <c r="A117" s="128" t="s">
        <v>187</v>
      </c>
      <c r="C117" s="870"/>
      <c r="D117" s="871"/>
      <c r="E117" s="871"/>
      <c r="F117" s="871"/>
      <c r="G117" s="871"/>
      <c r="H117" s="871"/>
      <c r="I117" s="871"/>
      <c r="J117" s="871"/>
      <c r="K117" s="871"/>
      <c r="L117" s="871"/>
      <c r="M117" s="872"/>
    </row>
    <row r="118" spans="1:13">
      <c r="A118" s="128" t="s">
        <v>187</v>
      </c>
      <c r="C118" s="870"/>
      <c r="D118" s="871"/>
      <c r="E118" s="871"/>
      <c r="F118" s="871"/>
      <c r="G118" s="871"/>
      <c r="H118" s="871"/>
      <c r="I118" s="871"/>
      <c r="J118" s="871"/>
      <c r="K118" s="871"/>
      <c r="L118" s="871"/>
      <c r="M118" s="872"/>
    </row>
    <row r="119" spans="1:13">
      <c r="A119" s="128" t="s">
        <v>187</v>
      </c>
      <c r="C119" s="870"/>
      <c r="D119" s="871"/>
      <c r="E119" s="871"/>
      <c r="F119" s="871"/>
      <c r="G119" s="871"/>
      <c r="H119" s="871"/>
      <c r="I119" s="871"/>
      <c r="J119" s="871"/>
      <c r="K119" s="871"/>
      <c r="L119" s="871"/>
      <c r="M119" s="872"/>
    </row>
    <row r="120" spans="1:13">
      <c r="A120" s="128" t="s">
        <v>187</v>
      </c>
      <c r="C120" s="870"/>
      <c r="D120" s="871"/>
      <c r="E120" s="871"/>
      <c r="F120" s="871"/>
      <c r="G120" s="871"/>
      <c r="H120" s="871"/>
      <c r="I120" s="871"/>
      <c r="J120" s="871"/>
      <c r="K120" s="871"/>
      <c r="L120" s="871"/>
      <c r="M120" s="872"/>
    </row>
    <row r="121" spans="1:13">
      <c r="A121" s="128" t="s">
        <v>187</v>
      </c>
      <c r="C121" s="870"/>
      <c r="D121" s="871"/>
      <c r="E121" s="871"/>
      <c r="F121" s="871"/>
      <c r="G121" s="871"/>
      <c r="H121" s="871"/>
      <c r="I121" s="871"/>
      <c r="J121" s="871"/>
      <c r="K121" s="871"/>
      <c r="L121" s="871"/>
      <c r="M121" s="872"/>
    </row>
    <row r="122" spans="1:13" ht="45.75" customHeight="1">
      <c r="A122" s="128" t="s">
        <v>187</v>
      </c>
      <c r="B122" s="524" t="str">
        <f>Translation!B126</f>
        <v>Go back</v>
      </c>
      <c r="C122" s="870"/>
      <c r="D122" s="871"/>
      <c r="E122" s="871"/>
      <c r="F122" s="871"/>
      <c r="G122" s="871"/>
      <c r="H122" s="871"/>
      <c r="I122" s="871"/>
      <c r="J122" s="871"/>
      <c r="K122" s="871"/>
      <c r="L122" s="871"/>
      <c r="M122" s="872"/>
    </row>
    <row r="123" spans="1:13">
      <c r="A123" s="128" t="s">
        <v>187</v>
      </c>
      <c r="C123" s="870"/>
      <c r="D123" s="871"/>
      <c r="E123" s="871"/>
      <c r="F123" s="871"/>
      <c r="G123" s="871"/>
      <c r="H123" s="871"/>
      <c r="I123" s="871"/>
      <c r="J123" s="871"/>
      <c r="K123" s="871"/>
      <c r="L123" s="871"/>
      <c r="M123" s="872"/>
    </row>
    <row r="124" spans="1:13">
      <c r="A124" s="128" t="s">
        <v>187</v>
      </c>
      <c r="C124" s="870"/>
      <c r="D124" s="871"/>
      <c r="E124" s="871"/>
      <c r="F124" s="871"/>
      <c r="G124" s="871"/>
      <c r="H124" s="871"/>
      <c r="I124" s="871"/>
      <c r="J124" s="871"/>
      <c r="K124" s="871"/>
      <c r="L124" s="871"/>
      <c r="M124" s="872"/>
    </row>
    <row r="125" spans="1:13" ht="31.5" customHeight="1">
      <c r="A125" s="128" t="s">
        <v>187</v>
      </c>
      <c r="B125" s="296" t="str">
        <f>Translation!B186</f>
        <v>Road Surface Type</v>
      </c>
      <c r="C125" s="870"/>
      <c r="D125" s="871"/>
      <c r="E125" s="871"/>
      <c r="F125" s="871"/>
      <c r="G125" s="871"/>
      <c r="H125" s="871"/>
      <c r="I125" s="871"/>
      <c r="J125" s="871"/>
      <c r="K125" s="871"/>
      <c r="L125" s="871"/>
      <c r="M125" s="872"/>
    </row>
    <row r="126" spans="1:13">
      <c r="A126" s="128" t="s">
        <v>187</v>
      </c>
      <c r="C126" s="870"/>
      <c r="D126" s="871"/>
      <c r="E126" s="871"/>
      <c r="F126" s="871"/>
      <c r="G126" s="871"/>
      <c r="H126" s="871"/>
      <c r="I126" s="871"/>
      <c r="J126" s="871"/>
      <c r="K126" s="871"/>
      <c r="L126" s="871"/>
      <c r="M126" s="872"/>
    </row>
    <row r="127" spans="1:13">
      <c r="A127" s="128" t="s">
        <v>187</v>
      </c>
      <c r="C127" s="870"/>
      <c r="D127" s="871"/>
      <c r="E127" s="871"/>
      <c r="F127" s="871"/>
      <c r="G127" s="871"/>
      <c r="H127" s="871"/>
      <c r="I127" s="871"/>
      <c r="J127" s="871"/>
      <c r="K127" s="871"/>
      <c r="L127" s="871"/>
      <c r="M127" s="872"/>
    </row>
    <row r="128" spans="1:13">
      <c r="A128" s="128" t="s">
        <v>187</v>
      </c>
      <c r="C128" s="870"/>
      <c r="D128" s="871"/>
      <c r="E128" s="871"/>
      <c r="F128" s="871"/>
      <c r="G128" s="871"/>
      <c r="H128" s="871"/>
      <c r="I128" s="871"/>
      <c r="J128" s="871"/>
      <c r="K128" s="871"/>
      <c r="L128" s="871"/>
      <c r="M128" s="872"/>
    </row>
    <row r="129" spans="1:13">
      <c r="A129" s="128" t="s">
        <v>187</v>
      </c>
      <c r="C129" s="870"/>
      <c r="D129" s="871"/>
      <c r="E129" s="871"/>
      <c r="F129" s="871"/>
      <c r="G129" s="871"/>
      <c r="H129" s="871"/>
      <c r="I129" s="871"/>
      <c r="J129" s="871"/>
      <c r="K129" s="871"/>
      <c r="L129" s="871"/>
      <c r="M129" s="872"/>
    </row>
    <row r="130" spans="1:13">
      <c r="A130" s="128" t="s">
        <v>187</v>
      </c>
      <c r="C130" s="870"/>
      <c r="D130" s="871"/>
      <c r="E130" s="871"/>
      <c r="F130" s="871"/>
      <c r="G130" s="871"/>
      <c r="H130" s="871"/>
      <c r="I130" s="871"/>
      <c r="J130" s="871"/>
      <c r="K130" s="871"/>
      <c r="L130" s="871"/>
      <c r="M130" s="872"/>
    </row>
    <row r="131" spans="1:13">
      <c r="A131" s="128" t="s">
        <v>187</v>
      </c>
      <c r="C131" s="870"/>
      <c r="D131" s="871"/>
      <c r="E131" s="871"/>
      <c r="F131" s="871"/>
      <c r="G131" s="871"/>
      <c r="H131" s="871"/>
      <c r="I131" s="871"/>
      <c r="J131" s="871"/>
      <c r="K131" s="871"/>
      <c r="L131" s="871"/>
      <c r="M131" s="872"/>
    </row>
    <row r="132" spans="1:13">
      <c r="A132" s="128" t="s">
        <v>187</v>
      </c>
      <c r="C132" s="870"/>
      <c r="D132" s="871"/>
      <c r="E132" s="871"/>
      <c r="F132" s="871"/>
      <c r="G132" s="871"/>
      <c r="H132" s="871"/>
      <c r="I132" s="871"/>
      <c r="J132" s="871"/>
      <c r="K132" s="871"/>
      <c r="L132" s="871"/>
      <c r="M132" s="872"/>
    </row>
    <row r="133" spans="1:13">
      <c r="A133" s="128" t="s">
        <v>187</v>
      </c>
      <c r="C133" s="870"/>
      <c r="D133" s="871"/>
      <c r="E133" s="871"/>
      <c r="F133" s="871"/>
      <c r="G133" s="871"/>
      <c r="H133" s="871"/>
      <c r="I133" s="871"/>
      <c r="J133" s="871"/>
      <c r="K133" s="871"/>
      <c r="L133" s="871"/>
      <c r="M133" s="872"/>
    </row>
    <row r="134" spans="1:13">
      <c r="A134" s="128" t="s">
        <v>187</v>
      </c>
      <c r="C134" s="870"/>
      <c r="D134" s="871"/>
      <c r="E134" s="871"/>
      <c r="F134" s="871"/>
      <c r="G134" s="871"/>
      <c r="H134" s="871"/>
      <c r="I134" s="871"/>
      <c r="J134" s="871"/>
      <c r="K134" s="871"/>
      <c r="L134" s="871"/>
      <c r="M134" s="872"/>
    </row>
    <row r="135" spans="1:13">
      <c r="A135" s="128" t="s">
        <v>187</v>
      </c>
      <c r="C135" s="873"/>
      <c r="D135" s="874"/>
      <c r="E135" s="874"/>
      <c r="F135" s="874"/>
      <c r="G135" s="874"/>
      <c r="H135" s="874"/>
      <c r="I135" s="874"/>
      <c r="J135" s="874"/>
      <c r="K135" s="874"/>
      <c r="L135" s="874"/>
      <c r="M135" s="875"/>
    </row>
    <row r="136" spans="1:13" ht="21" customHeight="1">
      <c r="A136" s="128" t="s">
        <v>187</v>
      </c>
      <c r="C136" s="844" t="str">
        <f>Translation!B211</f>
        <v xml:space="preserve">Design Criteria  Illuminance </v>
      </c>
      <c r="D136" s="845"/>
      <c r="E136" s="845"/>
      <c r="F136" s="845"/>
      <c r="G136" s="845"/>
      <c r="H136" s="845"/>
      <c r="I136" s="845"/>
      <c r="J136" s="845"/>
      <c r="K136" s="845"/>
      <c r="L136" s="845"/>
      <c r="M136" s="846"/>
    </row>
    <row r="137" spans="1:13" ht="15" customHeight="1">
      <c r="A137" s="128" t="s">
        <v>187</v>
      </c>
      <c r="C137" s="841"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42"/>
      <c r="E137" s="842"/>
      <c r="F137" s="842"/>
      <c r="G137" s="842"/>
      <c r="H137" s="842"/>
      <c r="I137" s="842"/>
      <c r="J137" s="842"/>
      <c r="K137" s="842"/>
      <c r="L137" s="842"/>
      <c r="M137" s="843"/>
    </row>
    <row r="138" spans="1:13">
      <c r="A138" s="128" t="s">
        <v>187</v>
      </c>
      <c r="C138" s="841"/>
      <c r="D138" s="842"/>
      <c r="E138" s="842"/>
      <c r="F138" s="842"/>
      <c r="G138" s="842"/>
      <c r="H138" s="842"/>
      <c r="I138" s="842"/>
      <c r="J138" s="842"/>
      <c r="K138" s="842"/>
      <c r="L138" s="842"/>
      <c r="M138" s="843"/>
    </row>
    <row r="139" spans="1:13">
      <c r="A139" s="128" t="s">
        <v>187</v>
      </c>
      <c r="C139" s="841"/>
      <c r="D139" s="842"/>
      <c r="E139" s="842"/>
      <c r="F139" s="842"/>
      <c r="G139" s="842"/>
      <c r="H139" s="842"/>
      <c r="I139" s="842"/>
      <c r="J139" s="842"/>
      <c r="K139" s="842"/>
      <c r="L139" s="842"/>
      <c r="M139" s="843"/>
    </row>
    <row r="140" spans="1:13">
      <c r="A140" s="128" t="s">
        <v>187</v>
      </c>
      <c r="C140" s="841"/>
      <c r="D140" s="842"/>
      <c r="E140" s="842"/>
      <c r="F140" s="842"/>
      <c r="G140" s="842"/>
      <c r="H140" s="842"/>
      <c r="I140" s="842"/>
      <c r="J140" s="842"/>
      <c r="K140" s="842"/>
      <c r="L140" s="842"/>
      <c r="M140" s="843"/>
    </row>
    <row r="141" spans="1:13">
      <c r="A141" s="128" t="s">
        <v>187</v>
      </c>
      <c r="C141" s="841"/>
      <c r="D141" s="842"/>
      <c r="E141" s="842"/>
      <c r="F141" s="842"/>
      <c r="G141" s="842"/>
      <c r="H141" s="842"/>
      <c r="I141" s="842"/>
      <c r="J141" s="842"/>
      <c r="K141" s="842"/>
      <c r="L141" s="842"/>
      <c r="M141" s="843"/>
    </row>
    <row r="142" spans="1:13">
      <c r="A142" s="128" t="s">
        <v>187</v>
      </c>
      <c r="C142" s="841"/>
      <c r="D142" s="842"/>
      <c r="E142" s="842"/>
      <c r="F142" s="842"/>
      <c r="G142" s="842"/>
      <c r="H142" s="842"/>
      <c r="I142" s="842"/>
      <c r="J142" s="842"/>
      <c r="K142" s="842"/>
      <c r="L142" s="842"/>
      <c r="M142" s="843"/>
    </row>
    <row r="143" spans="1:13">
      <c r="A143" s="128" t="s">
        <v>187</v>
      </c>
      <c r="C143" s="841"/>
      <c r="D143" s="842"/>
      <c r="E143" s="842"/>
      <c r="F143" s="842"/>
      <c r="G143" s="842"/>
      <c r="H143" s="842"/>
      <c r="I143" s="842"/>
      <c r="J143" s="842"/>
      <c r="K143" s="842"/>
      <c r="L143" s="842"/>
      <c r="M143" s="843"/>
    </row>
    <row r="144" spans="1:13">
      <c r="A144" s="128" t="s">
        <v>187</v>
      </c>
      <c r="C144" s="841"/>
      <c r="D144" s="842"/>
      <c r="E144" s="842"/>
      <c r="F144" s="842"/>
      <c r="G144" s="842"/>
      <c r="H144" s="842"/>
      <c r="I144" s="842"/>
      <c r="J144" s="842"/>
      <c r="K144" s="842"/>
      <c r="L144" s="842"/>
      <c r="M144" s="843"/>
    </row>
    <row r="145" spans="1:13" ht="15" customHeight="1">
      <c r="A145" s="128" t="s">
        <v>187</v>
      </c>
      <c r="C145" s="841"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42"/>
      <c r="E145" s="842"/>
      <c r="F145" s="842"/>
      <c r="G145" s="842"/>
      <c r="H145" s="842"/>
      <c r="I145" s="842"/>
      <c r="J145" s="842"/>
      <c r="K145" s="842"/>
      <c r="L145" s="842"/>
      <c r="M145" s="843"/>
    </row>
    <row r="146" spans="1:13">
      <c r="A146" s="128" t="s">
        <v>187</v>
      </c>
      <c r="C146" s="841"/>
      <c r="D146" s="842"/>
      <c r="E146" s="842"/>
      <c r="F146" s="842"/>
      <c r="G146" s="842"/>
      <c r="H146" s="842"/>
      <c r="I146" s="842"/>
      <c r="J146" s="842"/>
      <c r="K146" s="842"/>
      <c r="L146" s="842"/>
      <c r="M146" s="843"/>
    </row>
    <row r="147" spans="1:13">
      <c r="A147" s="128" t="s">
        <v>187</v>
      </c>
      <c r="C147" s="841"/>
      <c r="D147" s="842"/>
      <c r="E147" s="842"/>
      <c r="F147" s="842"/>
      <c r="G147" s="842"/>
      <c r="H147" s="842"/>
      <c r="I147" s="842"/>
      <c r="J147" s="842"/>
      <c r="K147" s="842"/>
      <c r="L147" s="842"/>
      <c r="M147" s="843"/>
    </row>
    <row r="148" spans="1:13">
      <c r="A148" s="128" t="s">
        <v>187</v>
      </c>
      <c r="C148" s="841"/>
      <c r="D148" s="842"/>
      <c r="E148" s="842"/>
      <c r="F148" s="842"/>
      <c r="G148" s="842"/>
      <c r="H148" s="842"/>
      <c r="I148" s="842"/>
      <c r="J148" s="842"/>
      <c r="K148" s="842"/>
      <c r="L148" s="842"/>
      <c r="M148" s="843"/>
    </row>
    <row r="149" spans="1:13">
      <c r="A149" s="128" t="s">
        <v>187</v>
      </c>
      <c r="C149" s="841"/>
      <c r="D149" s="842"/>
      <c r="E149" s="842"/>
      <c r="F149" s="842"/>
      <c r="G149" s="842"/>
      <c r="H149" s="842"/>
      <c r="I149" s="842"/>
      <c r="J149" s="842"/>
      <c r="K149" s="842"/>
      <c r="L149" s="842"/>
      <c r="M149" s="843"/>
    </row>
    <row r="150" spans="1:13">
      <c r="A150" s="128" t="s">
        <v>187</v>
      </c>
      <c r="C150" s="841"/>
      <c r="D150" s="842"/>
      <c r="E150" s="842"/>
      <c r="F150" s="842"/>
      <c r="G150" s="842"/>
      <c r="H150" s="842"/>
      <c r="I150" s="842"/>
      <c r="J150" s="842"/>
      <c r="K150" s="842"/>
      <c r="L150" s="842"/>
      <c r="M150" s="843"/>
    </row>
    <row r="151" spans="1:13">
      <c r="A151" s="128" t="s">
        <v>187</v>
      </c>
      <c r="C151" s="847"/>
      <c r="D151" s="848"/>
      <c r="E151" s="848"/>
      <c r="F151" s="848"/>
      <c r="G151" s="848"/>
      <c r="H151" s="848"/>
      <c r="I151" s="848"/>
      <c r="J151" s="848"/>
      <c r="K151" s="848"/>
      <c r="L151" s="848"/>
      <c r="M151" s="849"/>
    </row>
    <row r="152" spans="1:13">
      <c r="A152" s="128" t="s">
        <v>187</v>
      </c>
    </row>
    <row r="153" spans="1:13">
      <c r="A153" s="128" t="s">
        <v>182</v>
      </c>
    </row>
    <row r="154" spans="1:13" ht="18.75" customHeight="1">
      <c r="A154" s="128" t="s">
        <v>182</v>
      </c>
      <c r="B154" s="720" t="str">
        <f>Translation!B155</f>
        <v>International Commission on Illumination (CIE)</v>
      </c>
      <c r="C154" s="721"/>
      <c r="D154" s="721"/>
      <c r="E154" s="721"/>
      <c r="F154" s="721"/>
      <c r="G154" s="721"/>
      <c r="H154" s="721"/>
      <c r="I154" s="721"/>
      <c r="J154" s="721"/>
      <c r="K154" s="721"/>
      <c r="L154" s="721"/>
      <c r="M154" s="721"/>
    </row>
    <row r="155" spans="1:13">
      <c r="A155" s="128" t="s">
        <v>182</v>
      </c>
    </row>
    <row r="156" spans="1:13" ht="15" customHeight="1">
      <c r="A156" s="128" t="s">
        <v>182</v>
      </c>
      <c r="C156" s="867"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68"/>
      <c r="E156" s="868"/>
      <c r="F156" s="868"/>
      <c r="G156" s="868"/>
      <c r="H156" s="868"/>
      <c r="I156" s="868"/>
      <c r="J156" s="868"/>
      <c r="K156" s="868"/>
      <c r="L156" s="868"/>
      <c r="M156" s="869"/>
    </row>
    <row r="157" spans="1:13" ht="15" customHeight="1">
      <c r="A157" s="128" t="s">
        <v>182</v>
      </c>
      <c r="C157" s="870"/>
      <c r="D157" s="871"/>
      <c r="E157" s="871"/>
      <c r="F157" s="871"/>
      <c r="G157" s="871"/>
      <c r="H157" s="871"/>
      <c r="I157" s="871"/>
      <c r="J157" s="871"/>
      <c r="K157" s="871"/>
      <c r="L157" s="871"/>
      <c r="M157" s="872"/>
    </row>
    <row r="158" spans="1:13" ht="15" customHeight="1">
      <c r="A158" s="128" t="s">
        <v>182</v>
      </c>
      <c r="C158" s="870"/>
      <c r="D158" s="871"/>
      <c r="E158" s="871"/>
      <c r="F158" s="871"/>
      <c r="G158" s="871"/>
      <c r="H158" s="871"/>
      <c r="I158" s="871"/>
      <c r="J158" s="871"/>
      <c r="K158" s="871"/>
      <c r="L158" s="871"/>
      <c r="M158" s="872"/>
    </row>
    <row r="159" spans="1:13" ht="15" customHeight="1">
      <c r="A159" s="128" t="s">
        <v>182</v>
      </c>
      <c r="C159" s="870"/>
      <c r="D159" s="871"/>
      <c r="E159" s="871"/>
      <c r="F159" s="871"/>
      <c r="G159" s="871"/>
      <c r="H159" s="871"/>
      <c r="I159" s="871"/>
      <c r="J159" s="871"/>
      <c r="K159" s="871"/>
      <c r="L159" s="871"/>
      <c r="M159" s="872"/>
    </row>
    <row r="160" spans="1:13" ht="15" customHeight="1">
      <c r="A160" s="128" t="s">
        <v>182</v>
      </c>
      <c r="C160" s="870"/>
      <c r="D160" s="871"/>
      <c r="E160" s="871"/>
      <c r="F160" s="871"/>
      <c r="G160" s="871"/>
      <c r="H160" s="871"/>
      <c r="I160" s="871"/>
      <c r="J160" s="871"/>
      <c r="K160" s="871"/>
      <c r="L160" s="871"/>
      <c r="M160" s="872"/>
    </row>
    <row r="161" spans="1:13" ht="15" customHeight="1">
      <c r="A161" s="128" t="s">
        <v>182</v>
      </c>
      <c r="C161" s="870"/>
      <c r="D161" s="871"/>
      <c r="E161" s="871"/>
      <c r="F161" s="871"/>
      <c r="G161" s="871"/>
      <c r="H161" s="871"/>
      <c r="I161" s="871"/>
      <c r="J161" s="871"/>
      <c r="K161" s="871"/>
      <c r="L161" s="871"/>
      <c r="M161" s="872"/>
    </row>
    <row r="162" spans="1:13" ht="15" customHeight="1">
      <c r="A162" s="128" t="s">
        <v>182</v>
      </c>
      <c r="C162" s="870"/>
      <c r="D162" s="871"/>
      <c r="E162" s="871"/>
      <c r="F162" s="871"/>
      <c r="G162" s="871"/>
      <c r="H162" s="871"/>
      <c r="I162" s="871"/>
      <c r="J162" s="871"/>
      <c r="K162" s="871"/>
      <c r="L162" s="871"/>
      <c r="M162" s="872"/>
    </row>
    <row r="163" spans="1:13" ht="15" customHeight="1">
      <c r="A163" s="128" t="s">
        <v>182</v>
      </c>
      <c r="C163" s="870"/>
      <c r="D163" s="871"/>
      <c r="E163" s="871"/>
      <c r="F163" s="871"/>
      <c r="G163" s="871"/>
      <c r="H163" s="871"/>
      <c r="I163" s="871"/>
      <c r="J163" s="871"/>
      <c r="K163" s="871"/>
      <c r="L163" s="871"/>
      <c r="M163" s="872"/>
    </row>
    <row r="164" spans="1:13" ht="15" customHeight="1">
      <c r="A164" s="128" t="s">
        <v>182</v>
      </c>
      <c r="C164" s="870"/>
      <c r="D164" s="871"/>
      <c r="E164" s="871"/>
      <c r="F164" s="871"/>
      <c r="G164" s="871"/>
      <c r="H164" s="871"/>
      <c r="I164" s="871"/>
      <c r="J164" s="871"/>
      <c r="K164" s="871"/>
      <c r="L164" s="871"/>
      <c r="M164" s="872"/>
    </row>
    <row r="165" spans="1:13" ht="15" customHeight="1">
      <c r="A165" s="128" t="s">
        <v>182</v>
      </c>
      <c r="C165" s="870"/>
      <c r="D165" s="871"/>
      <c r="E165" s="871"/>
      <c r="F165" s="871"/>
      <c r="G165" s="871"/>
      <c r="H165" s="871"/>
      <c r="I165" s="871"/>
      <c r="J165" s="871"/>
      <c r="K165" s="871"/>
      <c r="L165" s="871"/>
      <c r="M165" s="872"/>
    </row>
    <row r="166" spans="1:13" ht="15" customHeight="1">
      <c r="A166" s="128" t="s">
        <v>182</v>
      </c>
      <c r="C166" s="873"/>
      <c r="D166" s="874"/>
      <c r="E166" s="874"/>
      <c r="F166" s="874"/>
      <c r="G166" s="874"/>
      <c r="H166" s="874"/>
      <c r="I166" s="874"/>
      <c r="J166" s="874"/>
      <c r="K166" s="874"/>
      <c r="L166" s="874"/>
      <c r="M166" s="875"/>
    </row>
    <row r="167" spans="1:13">
      <c r="A167" s="128" t="s">
        <v>182</v>
      </c>
    </row>
    <row r="168" spans="1:13" ht="15.75" thickBot="1">
      <c r="A168" s="128" t="s">
        <v>182</v>
      </c>
    </row>
    <row r="169" spans="1:13" ht="15.75" customHeight="1" thickBot="1">
      <c r="A169" s="128" t="s">
        <v>182</v>
      </c>
      <c r="C169" s="755" t="str">
        <f>Translation!B192</f>
        <v>Table 2: CIE Parameters for the Selection of M Lighting Class</v>
      </c>
      <c r="D169" s="756"/>
      <c r="E169" s="756"/>
      <c r="F169" s="756"/>
      <c r="G169" s="756"/>
      <c r="H169" s="756"/>
      <c r="I169" s="757"/>
    </row>
    <row r="170" spans="1:13" ht="15" customHeight="1">
      <c r="A170" s="128" t="s">
        <v>182</v>
      </c>
      <c r="C170" s="837" t="str">
        <f>Translation!B177</f>
        <v>Parameter</v>
      </c>
      <c r="D170" s="782"/>
      <c r="E170" s="780" t="str">
        <f>Translation!B174</f>
        <v>Options</v>
      </c>
      <c r="F170" s="781"/>
      <c r="G170" s="782"/>
      <c r="H170" s="862" t="str">
        <f>Translation!B207</f>
        <v>Weighting Value Vw</v>
      </c>
      <c r="I170" s="778" t="str">
        <f>Translation!B206</f>
        <v>Vw Selected</v>
      </c>
    </row>
    <row r="171" spans="1:13" ht="15.75" customHeight="1" thickBot="1">
      <c r="A171" s="128" t="s">
        <v>182</v>
      </c>
      <c r="C171" s="745"/>
      <c r="D171" s="746"/>
      <c r="E171" s="783"/>
      <c r="F171" s="784"/>
      <c r="G171" s="746"/>
      <c r="H171" s="863"/>
      <c r="I171" s="779"/>
    </row>
    <row r="172" spans="1:13" ht="15" customHeight="1">
      <c r="A172" s="128" t="s">
        <v>182</v>
      </c>
      <c r="C172" s="758" t="str">
        <f>Translation!B188</f>
        <v>Speed</v>
      </c>
      <c r="D172" s="759"/>
      <c r="E172" s="838" t="str">
        <f>Translation!B202</f>
        <v>Very High</v>
      </c>
      <c r="F172" s="839"/>
      <c r="G172" s="840"/>
      <c r="H172" s="234">
        <v>1</v>
      </c>
      <c r="I172" s="752"/>
    </row>
    <row r="173" spans="1:13" ht="15" customHeight="1">
      <c r="A173" s="128" t="s">
        <v>182</v>
      </c>
      <c r="C173" s="760"/>
      <c r="D173" s="761"/>
      <c r="E173" s="737" t="str">
        <f>Translation!B150</f>
        <v>High</v>
      </c>
      <c r="F173" s="836"/>
      <c r="G173" s="740"/>
      <c r="H173" s="235">
        <v>0.5</v>
      </c>
      <c r="I173" s="753"/>
    </row>
    <row r="174" spans="1:13" ht="15.75" customHeight="1" thickBot="1">
      <c r="A174" s="128" t="s">
        <v>182</v>
      </c>
      <c r="C174" s="762"/>
      <c r="D174" s="763"/>
      <c r="E174" s="747" t="str">
        <f>Translation!B168</f>
        <v>Moderate</v>
      </c>
      <c r="F174" s="777"/>
      <c r="G174" s="748"/>
      <c r="H174" s="236">
        <v>0</v>
      </c>
      <c r="I174" s="754"/>
    </row>
    <row r="175" spans="1:13" ht="15" customHeight="1">
      <c r="A175" s="128" t="s">
        <v>182</v>
      </c>
      <c r="C175" s="758" t="str">
        <f>Translation!B198</f>
        <v>Traffic Volume</v>
      </c>
      <c r="D175" s="759"/>
      <c r="E175" s="764" t="s">
        <v>139</v>
      </c>
      <c r="F175" s="765"/>
      <c r="G175" s="766"/>
      <c r="H175" s="234">
        <v>1</v>
      </c>
      <c r="I175" s="752"/>
    </row>
    <row r="176" spans="1:13" ht="15" customHeight="1">
      <c r="A176" s="128" t="s">
        <v>182</v>
      </c>
      <c r="C176" s="760"/>
      <c r="D176" s="761"/>
      <c r="E176" s="737" t="str">
        <f>Translation!B150</f>
        <v>High</v>
      </c>
      <c r="F176" s="836"/>
      <c r="G176" s="740"/>
      <c r="H176" s="235">
        <v>0.5</v>
      </c>
      <c r="I176" s="753"/>
    </row>
    <row r="177" spans="1:9" ht="15" customHeight="1">
      <c r="A177" s="128" t="s">
        <v>182</v>
      </c>
      <c r="C177" s="760"/>
      <c r="D177" s="761"/>
      <c r="E177" s="737" t="str">
        <f>Translation!B168</f>
        <v>Moderate</v>
      </c>
      <c r="F177" s="836"/>
      <c r="G177" s="740"/>
      <c r="H177" s="235">
        <v>0</v>
      </c>
      <c r="I177" s="753"/>
    </row>
    <row r="178" spans="1:9" ht="15" customHeight="1">
      <c r="A178" s="128" t="s">
        <v>182</v>
      </c>
      <c r="C178" s="760"/>
      <c r="D178" s="761"/>
      <c r="E178" s="737" t="str">
        <f>Translation!B160</f>
        <v>Low</v>
      </c>
      <c r="F178" s="836"/>
      <c r="G178" s="740"/>
      <c r="H178" s="235">
        <v>-0.5</v>
      </c>
      <c r="I178" s="753"/>
    </row>
    <row r="179" spans="1:9" ht="15.75" customHeight="1" thickBot="1">
      <c r="A179" s="128" t="s">
        <v>182</v>
      </c>
      <c r="C179" s="762"/>
      <c r="D179" s="763"/>
      <c r="E179" s="747" t="str">
        <f>Translation!B203</f>
        <v>Very Low</v>
      </c>
      <c r="F179" s="777"/>
      <c r="G179" s="748"/>
      <c r="H179" s="236">
        <v>-1</v>
      </c>
      <c r="I179" s="754"/>
    </row>
    <row r="180" spans="1:9" ht="15" customHeight="1">
      <c r="A180" s="128" t="s">
        <v>182</v>
      </c>
      <c r="C180" s="758" t="str">
        <f>Translation!B197</f>
        <v>Traffic Composition</v>
      </c>
      <c r="D180" s="759"/>
      <c r="E180" s="859" t="str">
        <f>Translation!B167</f>
        <v>Mixed with high % non motorized</v>
      </c>
      <c r="F180" s="860"/>
      <c r="G180" s="861"/>
      <c r="H180" s="234">
        <v>2</v>
      </c>
      <c r="I180" s="752"/>
    </row>
    <row r="181" spans="1:9" ht="15" customHeight="1">
      <c r="A181" s="128" t="s">
        <v>182</v>
      </c>
      <c r="C181" s="760"/>
      <c r="D181" s="761"/>
      <c r="E181" s="737" t="str">
        <f>Translation!B166</f>
        <v>Mixed</v>
      </c>
      <c r="F181" s="836"/>
      <c r="G181" s="740"/>
      <c r="H181" s="235">
        <v>1</v>
      </c>
      <c r="I181" s="753"/>
    </row>
    <row r="182" spans="1:9" ht="15.75" customHeight="1" thickBot="1">
      <c r="A182" s="128" t="s">
        <v>182</v>
      </c>
      <c r="C182" s="762"/>
      <c r="D182" s="763"/>
      <c r="E182" s="747" t="str">
        <f>Translation!B170</f>
        <v>Motorized only</v>
      </c>
      <c r="F182" s="777"/>
      <c r="G182" s="748"/>
      <c r="H182" s="236">
        <v>0</v>
      </c>
      <c r="I182" s="754"/>
    </row>
    <row r="183" spans="1:9" ht="15" customHeight="1">
      <c r="A183" s="128" t="s">
        <v>182</v>
      </c>
      <c r="C183" s="830" t="str">
        <f>Translation!B187</f>
        <v xml:space="preserve">Separation of carriageways
</v>
      </c>
      <c r="D183" s="825"/>
      <c r="E183" s="764" t="str">
        <f>Translation!B171</f>
        <v>No</v>
      </c>
      <c r="F183" s="765"/>
      <c r="G183" s="766"/>
      <c r="H183" s="234">
        <v>1</v>
      </c>
      <c r="I183" s="752"/>
    </row>
    <row r="184" spans="1:9" ht="15.75" customHeight="1" thickBot="1">
      <c r="A184" s="128" t="s">
        <v>182</v>
      </c>
      <c r="C184" s="834"/>
      <c r="D184" s="829"/>
      <c r="E184" s="747" t="str">
        <f>Translation!B209</f>
        <v>Yes</v>
      </c>
      <c r="F184" s="777"/>
      <c r="G184" s="748"/>
      <c r="H184" s="236">
        <v>0</v>
      </c>
      <c r="I184" s="754"/>
    </row>
    <row r="185" spans="1:9" ht="15" customHeight="1">
      <c r="A185" s="128" t="s">
        <v>182</v>
      </c>
      <c r="C185" s="758" t="str">
        <f>Translation!B157</f>
        <v>Intersection density</v>
      </c>
      <c r="D185" s="759"/>
      <c r="E185" s="764" t="str">
        <f>Translation!B150</f>
        <v>High</v>
      </c>
      <c r="F185" s="765"/>
      <c r="G185" s="766"/>
      <c r="H185" s="234">
        <v>1</v>
      </c>
      <c r="I185" s="752"/>
    </row>
    <row r="186" spans="1:9" ht="15.75" customHeight="1" thickBot="1">
      <c r="A186" s="128" t="s">
        <v>182</v>
      </c>
      <c r="C186" s="762"/>
      <c r="D186" s="763"/>
      <c r="E186" s="747" t="str">
        <f>Translation!B168</f>
        <v>Moderate</v>
      </c>
      <c r="F186" s="777"/>
      <c r="G186" s="748"/>
      <c r="H186" s="236">
        <v>0</v>
      </c>
      <c r="I186" s="754"/>
    </row>
    <row r="187" spans="1:9" ht="15" customHeight="1">
      <c r="A187" s="128" t="s">
        <v>182</v>
      </c>
      <c r="C187" s="758" t="str">
        <f>Translation!B178</f>
        <v>Parked Vehicles</v>
      </c>
      <c r="D187" s="759"/>
      <c r="E187" s="764" t="str">
        <f>Translation!B182</f>
        <v>Present</v>
      </c>
      <c r="F187" s="765"/>
      <c r="G187" s="766"/>
      <c r="H187" s="237">
        <v>0.5</v>
      </c>
      <c r="I187" s="752"/>
    </row>
    <row r="188" spans="1:9" ht="15.75" customHeight="1" thickBot="1">
      <c r="A188" s="128" t="s">
        <v>182</v>
      </c>
      <c r="C188" s="762"/>
      <c r="D188" s="763"/>
      <c r="E188" s="747" t="str">
        <f>Translation!B172</f>
        <v>Not present</v>
      </c>
      <c r="F188" s="777"/>
      <c r="G188" s="748"/>
      <c r="H188" s="238">
        <v>0</v>
      </c>
      <c r="I188" s="754"/>
    </row>
    <row r="189" spans="1:9" ht="15" customHeight="1">
      <c r="A189" s="128" t="s">
        <v>182</v>
      </c>
      <c r="C189" s="758" t="str">
        <f>Translation!B139</f>
        <v>Ambient luminance</v>
      </c>
      <c r="D189" s="759"/>
      <c r="E189" s="764" t="str">
        <f>Translation!B150</f>
        <v>High</v>
      </c>
      <c r="F189" s="765"/>
      <c r="G189" s="766"/>
      <c r="H189" s="234">
        <v>1</v>
      </c>
      <c r="I189" s="752"/>
    </row>
    <row r="190" spans="1:9" ht="15" customHeight="1">
      <c r="A190" s="128" t="s">
        <v>182</v>
      </c>
      <c r="C190" s="760"/>
      <c r="D190" s="761"/>
      <c r="E190" s="737" t="str">
        <f>Translation!B168</f>
        <v>Moderate</v>
      </c>
      <c r="F190" s="836"/>
      <c r="G190" s="740"/>
      <c r="H190" s="235">
        <v>0</v>
      </c>
      <c r="I190" s="753"/>
    </row>
    <row r="191" spans="1:9" ht="15.75" customHeight="1" thickBot="1">
      <c r="A191" s="128" t="s">
        <v>182</v>
      </c>
      <c r="C191" s="762"/>
      <c r="D191" s="763"/>
      <c r="E191" s="747" t="str">
        <f>Translation!B160</f>
        <v>Low</v>
      </c>
      <c r="F191" s="777"/>
      <c r="G191" s="748"/>
      <c r="H191" s="236">
        <v>-1</v>
      </c>
      <c r="I191" s="754"/>
    </row>
    <row r="192" spans="1:9" ht="15" customHeight="1">
      <c r="A192" s="128" t="s">
        <v>182</v>
      </c>
      <c r="C192" s="773" t="str">
        <f>Translation!B205</f>
        <v>Visual guidance/ traffic control</v>
      </c>
      <c r="D192" s="774"/>
      <c r="E192" s="764" t="str">
        <f>Translation!B181</f>
        <v>Poor</v>
      </c>
      <c r="F192" s="765"/>
      <c r="G192" s="766"/>
      <c r="H192" s="234">
        <v>0.5</v>
      </c>
      <c r="I192" s="752"/>
    </row>
    <row r="193" spans="1:14" ht="15.75" customHeight="1" thickBot="1">
      <c r="A193" s="128" t="s">
        <v>182</v>
      </c>
      <c r="C193" s="775"/>
      <c r="D193" s="776"/>
      <c r="E193" s="747" t="str">
        <f>Translation!B169</f>
        <v>Moderate or Good</v>
      </c>
      <c r="F193" s="777"/>
      <c r="G193" s="748"/>
      <c r="H193" s="236">
        <v>0</v>
      </c>
      <c r="I193" s="754"/>
      <c r="K193" s="867" t="str">
        <f>Translation!B195</f>
        <v xml:space="preserve">The lighting class is calculated as: 
M = 6 - Vws
This calculation will result in a class number between 1 and 6.  If the result is not a whole number, use the next lower whole number.  
</v>
      </c>
      <c r="L193" s="868"/>
      <c r="M193" s="868"/>
      <c r="N193" s="869"/>
    </row>
    <row r="194" spans="1:14" ht="15" customHeight="1">
      <c r="A194" s="128" t="s">
        <v>182</v>
      </c>
      <c r="H194" s="878" t="str">
        <f>Translation!B291</f>
        <v>Sum of Weighting Values (Vws)</v>
      </c>
      <c r="I194" s="881">
        <f>SUM(I172:I193)</f>
        <v>0</v>
      </c>
      <c r="K194" s="870"/>
      <c r="L194" s="871"/>
      <c r="M194" s="871"/>
      <c r="N194" s="872"/>
    </row>
    <row r="195" spans="1:14" ht="15" customHeight="1">
      <c r="A195" s="128" t="s">
        <v>182</v>
      </c>
      <c r="H195" s="879"/>
      <c r="I195" s="882"/>
      <c r="K195" s="870"/>
      <c r="L195" s="871"/>
      <c r="M195" s="871"/>
      <c r="N195" s="872"/>
    </row>
    <row r="196" spans="1:14" ht="15" customHeight="1">
      <c r="A196" s="128" t="s">
        <v>182</v>
      </c>
      <c r="H196" s="879"/>
      <c r="I196" s="882"/>
      <c r="K196" s="870"/>
      <c r="L196" s="871"/>
      <c r="M196" s="871"/>
      <c r="N196" s="872"/>
    </row>
    <row r="197" spans="1:14" ht="15" customHeight="1">
      <c r="A197" s="128" t="s">
        <v>182</v>
      </c>
      <c r="H197" s="880"/>
      <c r="I197" s="883"/>
      <c r="K197" s="870"/>
      <c r="L197" s="871"/>
      <c r="M197" s="871"/>
      <c r="N197" s="872"/>
    </row>
    <row r="198" spans="1:14" ht="15.75" customHeight="1" thickBot="1">
      <c r="A198" s="128" t="s">
        <v>182</v>
      </c>
      <c r="H198" s="239" t="str">
        <f>Translation!B290</f>
        <v>Class</v>
      </c>
      <c r="I198" s="653" t="str">
        <f>"M"&amp;FLOOR(6-I194,1)</f>
        <v>M6</v>
      </c>
      <c r="K198" s="873"/>
      <c r="L198" s="874"/>
      <c r="M198" s="874"/>
      <c r="N198" s="875"/>
    </row>
    <row r="199" spans="1:14">
      <c r="A199" s="128" t="s">
        <v>182</v>
      </c>
    </row>
    <row r="200" spans="1:14" ht="15.75" thickBot="1">
      <c r="A200" s="128" t="s">
        <v>182</v>
      </c>
    </row>
    <row r="201" spans="1:14" ht="15.75" customHeight="1" thickBot="1">
      <c r="A201" s="128" t="s">
        <v>182</v>
      </c>
      <c r="C201" s="767" t="str">
        <f>Translation!B193</f>
        <v>Table 3: CIE Lighting classes for motorized traffic</v>
      </c>
      <c r="D201" s="768"/>
      <c r="E201" s="768"/>
      <c r="F201" s="768"/>
      <c r="G201" s="768"/>
      <c r="H201" s="768"/>
      <c r="I201" s="769"/>
    </row>
    <row r="202" spans="1:14" ht="15.75" customHeight="1" thickBot="1">
      <c r="A202" s="128" t="s">
        <v>182</v>
      </c>
      <c r="C202" s="770" t="str">
        <f>Translation!B158</f>
        <v>Lighting class</v>
      </c>
      <c r="D202" s="884" t="str">
        <f>Translation!B185</f>
        <v>Road Surface</v>
      </c>
      <c r="E202" s="885"/>
      <c r="F202" s="885"/>
      <c r="G202" s="886"/>
      <c r="H202" s="887" t="str">
        <f>Translation!B196</f>
        <v>Threshold increment</v>
      </c>
      <c r="I202" s="887" t="str">
        <f>Translation!B190</f>
        <v>Surround ratio</v>
      </c>
    </row>
    <row r="203" spans="1:14" ht="15.75" customHeight="1" thickBot="1">
      <c r="A203" s="128" t="s">
        <v>182</v>
      </c>
      <c r="C203" s="771"/>
      <c r="D203" s="884" t="str">
        <f>Translation!B146</f>
        <v>Dry</v>
      </c>
      <c r="E203" s="885"/>
      <c r="F203" s="886"/>
      <c r="G203" s="595" t="str">
        <f>Translation!B208</f>
        <v>Wet*</v>
      </c>
      <c r="H203" s="888"/>
      <c r="I203" s="888"/>
    </row>
    <row r="204" spans="1:14" ht="15" customHeight="1">
      <c r="A204" s="128" t="s">
        <v>182</v>
      </c>
      <c r="C204" s="771"/>
      <c r="D204" s="891" t="s">
        <v>185</v>
      </c>
      <c r="E204" s="893" t="s">
        <v>1789</v>
      </c>
      <c r="F204" s="895" t="s">
        <v>170</v>
      </c>
      <c r="G204" s="897" t="s">
        <v>169</v>
      </c>
      <c r="H204" s="876" t="s">
        <v>171</v>
      </c>
      <c r="I204" s="876" t="s">
        <v>172</v>
      </c>
    </row>
    <row r="205" spans="1:14" ht="15.75" customHeight="1" thickBot="1">
      <c r="A205" s="128" t="s">
        <v>182</v>
      </c>
      <c r="C205" s="772"/>
      <c r="D205" s="892"/>
      <c r="E205" s="894"/>
      <c r="F205" s="896"/>
      <c r="G205" s="898"/>
      <c r="H205" s="877"/>
      <c r="I205" s="877"/>
    </row>
    <row r="206" spans="1:14">
      <c r="A206" s="128" t="s">
        <v>182</v>
      </c>
      <c r="C206" s="240" t="s">
        <v>173</v>
      </c>
      <c r="D206" s="241">
        <v>2</v>
      </c>
      <c r="E206" s="242">
        <v>0.4</v>
      </c>
      <c r="F206" s="243">
        <v>0.7</v>
      </c>
      <c r="G206" s="596">
        <v>0.15</v>
      </c>
      <c r="H206" s="244">
        <v>10</v>
      </c>
      <c r="I206" s="244">
        <v>0.5</v>
      </c>
    </row>
    <row r="207" spans="1:14">
      <c r="A207" s="128" t="s">
        <v>182</v>
      </c>
      <c r="C207" s="240" t="s">
        <v>174</v>
      </c>
      <c r="D207" s="245">
        <v>1.5</v>
      </c>
      <c r="E207" s="242">
        <v>0.4</v>
      </c>
      <c r="F207" s="243">
        <v>0.7</v>
      </c>
      <c r="G207" s="597">
        <v>0.15</v>
      </c>
      <c r="H207" s="244">
        <v>10</v>
      </c>
      <c r="I207" s="244">
        <v>0.5</v>
      </c>
    </row>
    <row r="208" spans="1:14">
      <c r="A208" s="128" t="s">
        <v>182</v>
      </c>
      <c r="C208" s="240" t="s">
        <v>175</v>
      </c>
      <c r="D208" s="245">
        <v>1</v>
      </c>
      <c r="E208" s="242">
        <v>0.4</v>
      </c>
      <c r="F208" s="246">
        <v>0.6</v>
      </c>
      <c r="G208" s="597">
        <v>0.15</v>
      </c>
      <c r="H208" s="244">
        <v>15</v>
      </c>
      <c r="I208" s="244">
        <v>0.5</v>
      </c>
    </row>
    <row r="209" spans="1:9">
      <c r="A209" s="128" t="s">
        <v>182</v>
      </c>
      <c r="C209" s="240" t="s">
        <v>176</v>
      </c>
      <c r="D209" s="245">
        <v>0.75</v>
      </c>
      <c r="E209" s="242">
        <v>0.4</v>
      </c>
      <c r="F209" s="246">
        <v>0.6</v>
      </c>
      <c r="G209" s="597">
        <v>0.15</v>
      </c>
      <c r="H209" s="244">
        <v>15</v>
      </c>
      <c r="I209" s="244">
        <v>0.5</v>
      </c>
    </row>
    <row r="210" spans="1:9">
      <c r="A210" s="128" t="s">
        <v>182</v>
      </c>
      <c r="C210" s="240" t="s">
        <v>177</v>
      </c>
      <c r="D210" s="245">
        <v>0.5</v>
      </c>
      <c r="E210" s="247">
        <v>0.35</v>
      </c>
      <c r="F210" s="246">
        <v>0.4</v>
      </c>
      <c r="G210" s="598">
        <v>0.15</v>
      </c>
      <c r="H210" s="244">
        <v>15</v>
      </c>
      <c r="I210" s="244">
        <v>0.5</v>
      </c>
    </row>
    <row r="211" spans="1:9" ht="15.75" thickBot="1">
      <c r="A211" s="128" t="s">
        <v>182</v>
      </c>
      <c r="C211" s="248" t="s">
        <v>178</v>
      </c>
      <c r="D211" s="249">
        <v>0.3</v>
      </c>
      <c r="E211" s="250">
        <v>0.35</v>
      </c>
      <c r="F211" s="251">
        <v>0.4</v>
      </c>
      <c r="G211" s="599">
        <v>0.15</v>
      </c>
      <c r="H211" s="252">
        <v>20</v>
      </c>
      <c r="I211" s="252">
        <v>0.5</v>
      </c>
    </row>
    <row r="212" spans="1:9">
      <c r="A212" s="128" t="s">
        <v>182</v>
      </c>
    </row>
    <row r="213" spans="1:9">
      <c r="A213" s="128" t="s">
        <v>182</v>
      </c>
    </row>
    <row r="214" spans="1:9">
      <c r="A214" s="128" t="s">
        <v>182</v>
      </c>
      <c r="C214" s="726" t="str">
        <f>Translation!B214</f>
        <v>CIE Classification Definitions</v>
      </c>
      <c r="D214" s="727"/>
      <c r="E214" s="727"/>
      <c r="F214" s="727"/>
      <c r="G214" s="727"/>
      <c r="H214" s="727"/>
      <c r="I214" s="728"/>
    </row>
    <row r="215" spans="1:9">
      <c r="A215" s="128" t="s">
        <v>182</v>
      </c>
      <c r="C215" s="729" t="str">
        <f>Translation!B215</f>
        <v>Average Luminance of the Road Surface (Lav)</v>
      </c>
      <c r="D215" s="730"/>
      <c r="E215" s="730"/>
      <c r="F215" s="730"/>
      <c r="G215" s="730"/>
      <c r="H215" s="730"/>
      <c r="I215" s="731"/>
    </row>
    <row r="216" spans="1:9" ht="61.5" customHeight="1">
      <c r="A216" s="128" t="s">
        <v>182</v>
      </c>
      <c r="C216" s="722"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23"/>
      <c r="E216" s="723"/>
      <c r="F216" s="723"/>
      <c r="G216" s="723"/>
      <c r="H216" s="723"/>
      <c r="I216" s="724"/>
    </row>
    <row r="217" spans="1:9" ht="61.5" customHeight="1">
      <c r="A217" s="128" t="s">
        <v>182</v>
      </c>
      <c r="C217" s="722" t="str">
        <f>Translation!B217</f>
        <v>The calculation of the average luminance of the road surface should be carried out in accordance with CIE 140-2000.</v>
      </c>
      <c r="D217" s="723"/>
      <c r="E217" s="723"/>
      <c r="F217" s="723"/>
      <c r="G217" s="723"/>
      <c r="H217" s="723"/>
      <c r="I217" s="724"/>
    </row>
    <row r="218" spans="1:9">
      <c r="A218" s="128" t="s">
        <v>182</v>
      </c>
      <c r="C218" s="729" t="str">
        <f>Translation!B218</f>
        <v xml:space="preserve">Overall uniformity of Road Luminance (U0) </v>
      </c>
      <c r="D218" s="730"/>
      <c r="E218" s="730"/>
      <c r="F218" s="730"/>
      <c r="G218" s="730"/>
      <c r="H218" s="730"/>
      <c r="I218" s="731"/>
    </row>
    <row r="219" spans="1:9" ht="85.5" customHeight="1">
      <c r="A219" s="128" t="s">
        <v>182</v>
      </c>
      <c r="C219" s="732"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33"/>
      <c r="E219" s="733"/>
      <c r="F219" s="733"/>
      <c r="G219" s="733"/>
      <c r="H219" s="733"/>
      <c r="I219" s="734"/>
    </row>
    <row r="220" spans="1:9">
      <c r="A220" s="128" t="s">
        <v>182</v>
      </c>
      <c r="C220" s="729" t="str">
        <f>Translation!B220</f>
        <v xml:space="preserve">Longitudinal Uniformity of Road Surface Luminance (Ul): </v>
      </c>
      <c r="D220" s="730"/>
      <c r="E220" s="730"/>
      <c r="F220" s="730"/>
      <c r="G220" s="730"/>
      <c r="H220" s="730"/>
      <c r="I220" s="731"/>
    </row>
    <row r="221" spans="1:9" ht="105.75" customHeight="1">
      <c r="A221" s="128" t="s">
        <v>182</v>
      </c>
      <c r="C221" s="722"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23"/>
      <c r="E221" s="723"/>
      <c r="F221" s="723"/>
      <c r="G221" s="723"/>
      <c r="H221" s="723"/>
      <c r="I221" s="724"/>
    </row>
    <row r="222" spans="1:9">
      <c r="A222" s="128" t="s">
        <v>182</v>
      </c>
      <c r="C222" s="729" t="str">
        <f>Translation!B222</f>
        <v>Threshold Increment TI (fTI)</v>
      </c>
      <c r="D222" s="730"/>
      <c r="E222" s="730"/>
      <c r="F222" s="730"/>
      <c r="G222" s="730"/>
      <c r="H222" s="730"/>
      <c r="I222" s="731"/>
    </row>
    <row r="223" spans="1:9" ht="58.5" customHeight="1">
      <c r="A223" s="128" t="s">
        <v>182</v>
      </c>
      <c r="C223" s="722" t="str">
        <f>Translation!B223</f>
        <v>TI is a measure of the loss of visibility caused by the disability glare from the road lighting luminaires.  The formula from which it is calculated is given in CIE 140-2000.</v>
      </c>
      <c r="D223" s="723"/>
      <c r="E223" s="723"/>
      <c r="F223" s="723"/>
      <c r="G223" s="723"/>
      <c r="H223" s="723"/>
      <c r="I223" s="724"/>
    </row>
    <row r="224" spans="1:9">
      <c r="A224" s="128" t="s">
        <v>182</v>
      </c>
      <c r="C224" s="729" t="str">
        <f>Translation!B224</f>
        <v>Surround Ratio SR (Rs)</v>
      </c>
      <c r="D224" s="730"/>
      <c r="E224" s="730"/>
      <c r="F224" s="730"/>
      <c r="G224" s="730"/>
      <c r="H224" s="730"/>
      <c r="I224" s="731"/>
    </row>
    <row r="225" spans="1:9" ht="58.5" customHeight="1">
      <c r="A225" s="128" t="s">
        <v>182</v>
      </c>
      <c r="C225" s="722"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23"/>
      <c r="E225" s="723"/>
      <c r="F225" s="723"/>
      <c r="G225" s="723"/>
      <c r="H225" s="723"/>
      <c r="I225" s="724"/>
    </row>
    <row r="226" spans="1:9" ht="30.75" customHeight="1">
      <c r="A226" s="128" t="s">
        <v>182</v>
      </c>
      <c r="C226" s="749" t="str">
        <f>Translation!B226</f>
        <v>Surround ratio is defined in CIE 140-2000.</v>
      </c>
      <c r="D226" s="750"/>
      <c r="E226" s="750"/>
      <c r="F226" s="750"/>
      <c r="G226" s="750"/>
      <c r="H226" s="750"/>
      <c r="I226" s="751"/>
    </row>
    <row r="227" spans="1:9">
      <c r="A227" s="128" t="s">
        <v>182</v>
      </c>
    </row>
    <row r="228" spans="1:9">
      <c r="A228" s="128" t="s">
        <v>182</v>
      </c>
    </row>
    <row r="229" spans="1:9">
      <c r="A229" s="128" t="s">
        <v>182</v>
      </c>
    </row>
    <row r="230" spans="1:9">
      <c r="A230" s="128" t="s">
        <v>182</v>
      </c>
    </row>
    <row r="231" spans="1:9">
      <c r="A231" s="128" t="s">
        <v>182</v>
      </c>
    </row>
    <row r="232" spans="1:9">
      <c r="A232" s="128" t="s">
        <v>182</v>
      </c>
    </row>
    <row r="233" spans="1:9">
      <c r="A233" s="128" t="s">
        <v>182</v>
      </c>
    </row>
    <row r="234" spans="1:9">
      <c r="A234" s="128" t="s">
        <v>182</v>
      </c>
    </row>
    <row r="235" spans="1:9">
      <c r="A235" s="128" t="s">
        <v>182</v>
      </c>
    </row>
    <row r="236" spans="1:9">
      <c r="A236" s="128" t="s">
        <v>182</v>
      </c>
    </row>
    <row r="237" spans="1:9">
      <c r="A237" s="128" t="s">
        <v>182</v>
      </c>
    </row>
    <row r="238" spans="1:9">
      <c r="A238" s="128" t="s">
        <v>182</v>
      </c>
    </row>
    <row r="239" spans="1:9">
      <c r="A239" s="128" t="s">
        <v>182</v>
      </c>
    </row>
    <row r="240" spans="1:9">
      <c r="A240" s="128" t="s">
        <v>182</v>
      </c>
    </row>
    <row r="241" spans="1:1">
      <c r="A241" s="128" t="s">
        <v>182</v>
      </c>
    </row>
    <row r="242" spans="1:1">
      <c r="A242" s="128" t="s">
        <v>182</v>
      </c>
    </row>
    <row r="243" spans="1:1">
      <c r="A243" s="128" t="s">
        <v>182</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L70:M70"/>
    <mergeCell ref="L71:M71"/>
    <mergeCell ref="L60:M60"/>
    <mergeCell ref="L65:M65"/>
    <mergeCell ref="L64:M64"/>
    <mergeCell ref="J70:K70"/>
    <mergeCell ref="J68:K68"/>
    <mergeCell ref="J64:K64"/>
    <mergeCell ref="J69:K69"/>
    <mergeCell ref="L69:M69"/>
    <mergeCell ref="E61:F61"/>
    <mergeCell ref="E65:F65"/>
    <mergeCell ref="E60:F60"/>
    <mergeCell ref="G58:G59"/>
    <mergeCell ref="H58:H59"/>
    <mergeCell ref="I58:I59"/>
    <mergeCell ref="J60:K60"/>
    <mergeCell ref="J63:K63"/>
    <mergeCell ref="J62:K62"/>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8"/>
  <sheetViews>
    <sheetView showGridLines="0" topLeftCell="A50" zoomScale="90" zoomScaleNormal="90" workbookViewId="0">
      <selection activeCell="B24" sqref="B24:C26"/>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MAX(IF(LEN(C39:C63155)&gt;0,ROW(C39:C63155),0))-ROW($C$36)</f>
        <v>42</v>
      </c>
      <c r="F1" s="256"/>
      <c r="G1" s="256"/>
      <c r="H1" s="256"/>
      <c r="I1" s="256"/>
      <c r="J1" s="256"/>
    </row>
    <row r="2" spans="1:27" s="123" customFormat="1" ht="15.75" customHeight="1"/>
    <row r="3" spans="1:27" s="126" customFormat="1" ht="50.25" customHeight="1">
      <c r="A3" s="127"/>
      <c r="C3" s="127" t="str">
        <f>Start!$D$2</f>
        <v>SEAD Street Lighting Tool v1.7.6a</v>
      </c>
    </row>
    <row r="4" spans="1:27" s="136" customFormat="1" ht="125.25" customHeight="1">
      <c r="A4" s="218"/>
      <c r="B4" s="218"/>
    </row>
    <row r="5" spans="1:27" ht="18.75" customHeight="1"/>
    <row r="6" spans="1:27" ht="96" customHeight="1">
      <c r="B6" s="719"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19"/>
      <c r="D6" s="719"/>
      <c r="E6" s="719"/>
      <c r="F6" s="719"/>
      <c r="G6" s="719"/>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04" t="str">
        <f>Translation!B548</f>
        <v>Select one of the fixtures from the list below. To edit the fixture assumptions, find the fixture in the table below</v>
      </c>
      <c r="C14" s="904"/>
      <c r="E14" s="903" t="str">
        <f>Translation!B549</f>
        <v>Baseline Fixture Summary</v>
      </c>
      <c r="F14" s="903"/>
      <c r="G14" s="903"/>
    </row>
    <row r="15" spans="1:27" ht="27" customHeight="1">
      <c r="B15" s="905"/>
      <c r="C15" s="905"/>
    </row>
    <row r="16" spans="1:27" ht="18.75" customHeight="1">
      <c r="B16" s="299" t="s">
        <v>37</v>
      </c>
      <c r="C16" s="634"/>
      <c r="E16" s="530" t="str">
        <f>Translation!$B$111</f>
        <v>Fixture Name</v>
      </c>
      <c r="F16" s="532" t="str">
        <f>FixtureData!$B$18</f>
        <v>ATB2_40B_LED_E70_XXXXX_R2.ies</v>
      </c>
    </row>
    <row r="17" spans="2:11" ht="18.75" customHeight="1">
      <c r="B17" s="636"/>
      <c r="C17" s="637"/>
      <c r="E17" s="530" t="str">
        <f>Translation!$B$234</f>
        <v>Manufacturer</v>
      </c>
      <c r="F17" s="532" t="str">
        <f>INDEX(FixtureManuf,FixtureData!$C$18)</f>
        <v>American Electric Lighting</v>
      </c>
    </row>
    <row r="18" spans="2:11" ht="18.75" customHeight="1">
      <c r="B18" s="638"/>
      <c r="C18" s="639"/>
      <c r="E18" s="530" t="str">
        <f>Translation!$B$101</f>
        <v>Type</v>
      </c>
      <c r="F18" s="532" t="str">
        <f>INDEX(FixtureType,FixtureData!$C$18)</f>
        <v>LED</v>
      </c>
    </row>
    <row r="19" spans="2:11" ht="18.75" customHeight="1">
      <c r="B19" s="638"/>
      <c r="C19" s="639"/>
      <c r="E19" s="530" t="str">
        <f>Translation!$B$235</f>
        <v>Model #</v>
      </c>
      <c r="F19" s="532" t="str">
        <f>INDEX(FixtureModel,FixtureData!$C$18)</f>
        <v>ATB2 40B LED E70 XXXXX R2</v>
      </c>
    </row>
    <row r="20" spans="2:11" ht="21.75" customHeight="1">
      <c r="B20" s="638"/>
      <c r="C20" s="639"/>
      <c r="E20" s="530" t="str">
        <f>Translation!$B$230</f>
        <v>Distribution Type</v>
      </c>
      <c r="F20" s="532" t="str">
        <f>INDEX(FixtureDist,FixtureData!$C$18)</f>
        <v>TYPE III, MEDIUM, BUG RATING: B2 - U0 - G3</v>
      </c>
    </row>
    <row r="21" spans="2:11" ht="18.75" customHeight="1">
      <c r="B21" s="638"/>
      <c r="C21" s="639"/>
      <c r="E21" s="530" t="str">
        <f>Translation!$B$229</f>
        <v>Comments</v>
      </c>
      <c r="F21" s="532" t="str">
        <f>IF(ISBLANK(INDEX(FixtureComments,FixtureData!$C$18)),"",INDEX(FixtureComments,FixtureData!$C$18))</f>
        <v/>
      </c>
    </row>
    <row r="22" spans="2:11" ht="17.25" customHeight="1">
      <c r="B22" s="529" t="s">
        <v>1746</v>
      </c>
      <c r="C22" s="640"/>
      <c r="E22" s="530" t="str">
        <f>Translation!$B$102</f>
        <v>Watts</v>
      </c>
      <c r="F22" s="532">
        <f>FixtureData!G18</f>
        <v>91</v>
      </c>
    </row>
    <row r="23" spans="2:11" ht="18.75" customHeight="1">
      <c r="B23" s="36" t="s">
        <v>3357</v>
      </c>
      <c r="C23" s="527" t="str">
        <f>Translation!B395</f>
        <v>Fixture already installed (mark with 'x')</v>
      </c>
      <c r="E23" s="530" t="str">
        <f>Translation!$B$352</f>
        <v>Equipment Cost ($/fixture)</v>
      </c>
      <c r="F23" s="669">
        <f>FixtureData!K18</f>
        <v>0</v>
      </c>
    </row>
    <row r="24" spans="2:11" ht="24.75" customHeight="1">
      <c r="B24" s="899" t="str">
        <f>Translation!B394</f>
        <v xml:space="preserve">If the fixture is already installed, installation cost will be zero. Instead of editing this in the large table below, you can override the values for just the baseline fixture here. </v>
      </c>
      <c r="C24" s="900"/>
      <c r="E24" s="530" t="str">
        <f>Translation!$B$324</f>
        <v>Installation Cost ($/fixture)</v>
      </c>
      <c r="F24" s="669">
        <f>FixtureData!L18</f>
        <v>0</v>
      </c>
    </row>
    <row r="25" spans="2:11" ht="24.75" customHeight="1">
      <c r="B25" s="899"/>
      <c r="C25" s="900"/>
      <c r="E25" s="530" t="str">
        <f>Translation!$B$354</f>
        <v>One-time Rebate or Subsidy ($/fixture)</v>
      </c>
      <c r="F25" s="669">
        <f>FixtureData!M18</f>
        <v>0</v>
      </c>
      <c r="H25" s="641"/>
      <c r="I25" s="642"/>
      <c r="J25" s="643"/>
      <c r="K25" s="643"/>
    </row>
    <row r="26" spans="2:11" ht="24.75" customHeight="1">
      <c r="B26" s="901"/>
      <c r="C26" s="902"/>
      <c r="E26" s="531" t="str">
        <f>Translation!$B$356</f>
        <v>Annual Maintenance Cost ($/year)</v>
      </c>
      <c r="F26" s="669">
        <f>FixtureData!N18</f>
        <v>25</v>
      </c>
      <c r="H26" s="641"/>
      <c r="I26" s="642"/>
      <c r="J26" s="643"/>
      <c r="K26" s="643"/>
    </row>
    <row r="27" spans="2:11" ht="18.75" customHeight="1">
      <c r="E27" s="530" t="str">
        <f>Translation!$B$358</f>
        <v>Maintenance inflation rate (%/year)</v>
      </c>
      <c r="F27" s="533">
        <f>FixtureData!O18</f>
        <v>0.02</v>
      </c>
      <c r="H27" s="641"/>
      <c r="I27" s="641"/>
      <c r="J27" s="641"/>
      <c r="K27" s="641"/>
    </row>
    <row r="28" spans="2:11" ht="18.75" customHeight="1">
      <c r="E28" s="531" t="str">
        <f>Translation!$B$95</f>
        <v>Total Light Loss Factor</v>
      </c>
      <c r="F28" s="534">
        <f>FixtureData!H18</f>
        <v>0.69000000000000006</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COUNTA($B$38:$B$65536)</f>
        <v>1</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MAX(IF(LEN(C39:C63160)&gt;0,ROW(C39:C63160),0))-ROW(C36)</f>
        <v>42</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6" t="str">
        <f>Translation!$B$232</f>
        <v>Include?</v>
      </c>
      <c r="C36" s="686" t="str">
        <f>Translation!$B$111</f>
        <v>Fixture Name</v>
      </c>
      <c r="D36" s="686" t="str">
        <f>Translation!$B$231</f>
        <v>Fixture Data Row</v>
      </c>
      <c r="E36" s="686" t="str">
        <f>Translation!$B$234</f>
        <v>Manufacturer</v>
      </c>
      <c r="F36" s="686" t="str">
        <f>Translation!$B$101</f>
        <v>Type</v>
      </c>
      <c r="G36" s="686" t="str">
        <f>Translation!$B$235</f>
        <v>Model #</v>
      </c>
      <c r="H36" s="686" t="str">
        <f>Translation!$B$230</f>
        <v>Distribution Type</v>
      </c>
      <c r="I36" s="686" t="str">
        <f>Translation!$B$229</f>
        <v>Comments</v>
      </c>
      <c r="J36" s="687" t="str">
        <f>Translation!$B$102</f>
        <v>Watts</v>
      </c>
      <c r="K36" s="687" t="str">
        <f>Translation!$B$352</f>
        <v>Equipment Cost ($/fixture)</v>
      </c>
      <c r="L36" s="687" t="str">
        <f>Translation!$B$324</f>
        <v>Installation Cost ($/fixture)</v>
      </c>
      <c r="M36" s="687" t="str">
        <f>Translation!$B$354</f>
        <v>One-time Rebate or Subsidy ($/fixture)</v>
      </c>
      <c r="N36" s="687" t="str">
        <f>Translation!$B$356</f>
        <v>Annual Maintenance Cost ($/year)</v>
      </c>
      <c r="O36" s="687" t="str">
        <f>Translation!$B$358</f>
        <v>Maintenance inflation rate (%/year)</v>
      </c>
      <c r="P36" s="687" t="str">
        <f>Translation!$B$233</f>
        <v>Lamp Lumen Depreciation</v>
      </c>
      <c r="Q36" s="687" t="str">
        <f>Translation!$B$362</f>
        <v>Luminaire Dirt Depreciation (design year)</v>
      </c>
      <c r="R36" s="686" t="str">
        <f>Translation!$B$88</f>
        <v>Ballast Factor</v>
      </c>
      <c r="S36" s="687" t="str">
        <f>Translation!$B$95</f>
        <v>Total Light Loss Factor</v>
      </c>
    </row>
    <row r="37" spans="1:40" s="349" customFormat="1" ht="19.5" customHeight="1">
      <c r="B37" s="226"/>
      <c r="C37" s="226"/>
      <c r="D37" s="226"/>
      <c r="E37" s="226"/>
      <c r="F37" s="92" t="s">
        <v>217</v>
      </c>
      <c r="G37" s="226"/>
      <c r="H37" s="226"/>
      <c r="I37" s="226"/>
      <c r="J37" s="92" t="s">
        <v>217</v>
      </c>
      <c r="K37" s="92" t="s">
        <v>217</v>
      </c>
      <c r="L37" s="92" t="s">
        <v>217</v>
      </c>
      <c r="M37" s="92" t="s">
        <v>217</v>
      </c>
      <c r="N37" s="92" t="s">
        <v>217</v>
      </c>
      <c r="O37" s="92" t="s">
        <v>217</v>
      </c>
      <c r="P37" s="92" t="s">
        <v>217</v>
      </c>
      <c r="Q37" s="92" t="s">
        <v>217</v>
      </c>
      <c r="R37" s="92" t="s">
        <v>217</v>
      </c>
      <c r="S37" s="92" t="s">
        <v>217</v>
      </c>
    </row>
    <row r="38" spans="1:40">
      <c r="A38" s="349"/>
      <c r="B38" s="301"/>
      <c r="C38" s="647" t="s">
        <v>117</v>
      </c>
      <c r="D38" s="648"/>
      <c r="E38" s="273" t="s">
        <v>118</v>
      </c>
      <c r="F38" s="273" t="s">
        <v>0</v>
      </c>
      <c r="G38" s="273">
        <v>0</v>
      </c>
      <c r="H38" s="273">
        <v>0</v>
      </c>
      <c r="I38" s="273">
        <v>0</v>
      </c>
      <c r="J38" s="273">
        <v>0</v>
      </c>
      <c r="K38" s="667">
        <v>0</v>
      </c>
      <c r="L38" s="667">
        <v>100</v>
      </c>
      <c r="M38" s="667"/>
      <c r="N38" s="667">
        <v>0</v>
      </c>
      <c r="O38" s="271"/>
      <c r="P38" s="272">
        <v>0</v>
      </c>
      <c r="Q38" s="272"/>
      <c r="R38" s="272">
        <v>1</v>
      </c>
      <c r="S38" s="282">
        <f>Q38*P38*R38</f>
        <v>0</v>
      </c>
    </row>
    <row r="39" spans="1:40">
      <c r="A39" s="349"/>
      <c r="B39" s="36"/>
      <c r="C39" s="647" t="s">
        <v>550</v>
      </c>
      <c r="D39" s="648">
        <f t="shared" ref="D39:D69" si="0">MATCH(C39,FxLib_names,0)-1</f>
        <v>1</v>
      </c>
      <c r="E39" s="273" t="s">
        <v>525</v>
      </c>
      <c r="F39" s="273" t="s">
        <v>0</v>
      </c>
      <c r="G39" s="273" t="s">
        <v>316</v>
      </c>
      <c r="H39" s="273"/>
      <c r="I39" s="295"/>
      <c r="J39" s="295">
        <v>70</v>
      </c>
      <c r="K39" s="668">
        <v>300</v>
      </c>
      <c r="L39" s="668">
        <v>100</v>
      </c>
      <c r="M39" s="668"/>
      <c r="N39" s="668">
        <v>50</v>
      </c>
      <c r="O39" s="283">
        <v>0.02</v>
      </c>
      <c r="P39" s="62">
        <v>0.73</v>
      </c>
      <c r="Q39" s="62">
        <v>0.88</v>
      </c>
      <c r="R39" s="62">
        <v>1</v>
      </c>
      <c r="S39" s="282">
        <f>Q39*P39*R39</f>
        <v>0.64239999999999997</v>
      </c>
    </row>
    <row r="40" spans="1:40">
      <c r="A40" s="349"/>
      <c r="B40" s="36"/>
      <c r="C40" s="647" t="s">
        <v>551</v>
      </c>
      <c r="D40" s="648">
        <f t="shared" si="0"/>
        <v>35</v>
      </c>
      <c r="E40" s="273" t="s">
        <v>525</v>
      </c>
      <c r="F40" s="273" t="s">
        <v>0</v>
      </c>
      <c r="G40" s="273" t="s">
        <v>316</v>
      </c>
      <c r="H40" s="273" t="s">
        <v>114</v>
      </c>
      <c r="I40" s="295"/>
      <c r="J40" s="295">
        <v>115</v>
      </c>
      <c r="K40" s="668">
        <v>300</v>
      </c>
      <c r="L40" s="668">
        <v>100</v>
      </c>
      <c r="M40" s="668"/>
      <c r="N40" s="668">
        <v>50</v>
      </c>
      <c r="O40" s="283">
        <v>0.02</v>
      </c>
      <c r="P40" s="62">
        <v>0.73</v>
      </c>
      <c r="Q40" s="62">
        <v>0.88</v>
      </c>
      <c r="R40" s="62">
        <v>1</v>
      </c>
      <c r="S40" s="282">
        <f t="shared" ref="S40:S74" si="1">Q40*P40*R40</f>
        <v>0.64239999999999997</v>
      </c>
    </row>
    <row r="41" spans="1:40">
      <c r="A41" s="349"/>
      <c r="B41" s="36"/>
      <c r="C41" s="647" t="s">
        <v>552</v>
      </c>
      <c r="D41" s="648">
        <f t="shared" si="0"/>
        <v>118</v>
      </c>
      <c r="E41" s="273" t="s">
        <v>525</v>
      </c>
      <c r="F41" s="273" t="s">
        <v>0</v>
      </c>
      <c r="G41" s="273" t="s">
        <v>316</v>
      </c>
      <c r="H41" s="273" t="s">
        <v>115</v>
      </c>
      <c r="I41" s="295"/>
      <c r="J41" s="295">
        <v>130</v>
      </c>
      <c r="K41" s="668">
        <v>300</v>
      </c>
      <c r="L41" s="668">
        <v>100</v>
      </c>
      <c r="M41" s="668"/>
      <c r="N41" s="668">
        <v>50</v>
      </c>
      <c r="O41" s="283">
        <v>0.02</v>
      </c>
      <c r="P41" s="62">
        <v>0.73</v>
      </c>
      <c r="Q41" s="62">
        <v>0.88</v>
      </c>
      <c r="R41" s="62">
        <v>1</v>
      </c>
      <c r="S41" s="282">
        <f t="shared" si="1"/>
        <v>0.64239999999999997</v>
      </c>
    </row>
    <row r="42" spans="1:40">
      <c r="A42" s="349"/>
      <c r="B42" s="36"/>
      <c r="C42" s="647" t="s">
        <v>553</v>
      </c>
      <c r="D42" s="648">
        <f t="shared" si="0"/>
        <v>201</v>
      </c>
      <c r="E42" s="273" t="s">
        <v>525</v>
      </c>
      <c r="F42" s="273" t="s">
        <v>0</v>
      </c>
      <c r="G42" s="273" t="s">
        <v>316</v>
      </c>
      <c r="H42" s="273" t="s">
        <v>335</v>
      </c>
      <c r="I42" s="295"/>
      <c r="J42" s="295">
        <v>189</v>
      </c>
      <c r="K42" s="668">
        <v>300</v>
      </c>
      <c r="L42" s="668">
        <v>100</v>
      </c>
      <c r="M42" s="668"/>
      <c r="N42" s="668">
        <v>50</v>
      </c>
      <c r="O42" s="283">
        <v>0.02</v>
      </c>
      <c r="P42" s="62">
        <v>0.73</v>
      </c>
      <c r="Q42" s="62">
        <v>0.88</v>
      </c>
      <c r="R42" s="62">
        <v>1</v>
      </c>
      <c r="S42" s="282">
        <f t="shared" si="1"/>
        <v>0.64239999999999997</v>
      </c>
    </row>
    <row r="43" spans="1:40">
      <c r="A43" s="349"/>
      <c r="B43" s="36"/>
      <c r="C43" s="647" t="s">
        <v>554</v>
      </c>
      <c r="D43" s="648">
        <f t="shared" si="0"/>
        <v>284</v>
      </c>
      <c r="E43" s="273" t="s">
        <v>525</v>
      </c>
      <c r="F43" s="273" t="s">
        <v>0</v>
      </c>
      <c r="G43" s="273" t="s">
        <v>316</v>
      </c>
      <c r="H43" s="273"/>
      <c r="I43" s="295"/>
      <c r="J43" s="295">
        <v>150</v>
      </c>
      <c r="K43" s="668">
        <v>300</v>
      </c>
      <c r="L43" s="668">
        <v>100</v>
      </c>
      <c r="M43" s="668"/>
      <c r="N43" s="668">
        <v>50</v>
      </c>
      <c r="O43" s="283">
        <v>0.02</v>
      </c>
      <c r="P43" s="62">
        <v>0.73</v>
      </c>
      <c r="Q43" s="62">
        <v>0.88</v>
      </c>
      <c r="R43" s="62">
        <v>1</v>
      </c>
      <c r="S43" s="282">
        <f t="shared" si="1"/>
        <v>0.64239999999999997</v>
      </c>
    </row>
    <row r="44" spans="1:40">
      <c r="A44" s="349"/>
      <c r="B44" s="36"/>
      <c r="C44" s="647" t="s">
        <v>555</v>
      </c>
      <c r="D44" s="648">
        <f t="shared" si="0"/>
        <v>316</v>
      </c>
      <c r="E44" s="273" t="s">
        <v>525</v>
      </c>
      <c r="F44" s="273" t="s">
        <v>0</v>
      </c>
      <c r="G44" s="273" t="s">
        <v>316</v>
      </c>
      <c r="H44" s="273" t="s">
        <v>337</v>
      </c>
      <c r="I44" s="295"/>
      <c r="J44" s="295">
        <v>183</v>
      </c>
      <c r="K44" s="668">
        <v>300</v>
      </c>
      <c r="L44" s="668">
        <v>100</v>
      </c>
      <c r="M44" s="668"/>
      <c r="N44" s="668">
        <v>50</v>
      </c>
      <c r="O44" s="283">
        <v>0.02</v>
      </c>
      <c r="P44" s="62">
        <v>0.73</v>
      </c>
      <c r="Q44" s="62">
        <v>0.88</v>
      </c>
      <c r="R44" s="62">
        <v>1</v>
      </c>
      <c r="S44" s="282">
        <f t="shared" si="1"/>
        <v>0.64239999999999997</v>
      </c>
    </row>
    <row r="45" spans="1:40">
      <c r="A45" s="349"/>
      <c r="B45" s="36"/>
      <c r="C45" s="647" t="s">
        <v>556</v>
      </c>
      <c r="D45" s="648">
        <f t="shared" si="0"/>
        <v>362</v>
      </c>
      <c r="E45" s="273" t="s">
        <v>525</v>
      </c>
      <c r="F45" s="273" t="s">
        <v>0</v>
      </c>
      <c r="G45" s="273" t="s">
        <v>316</v>
      </c>
      <c r="H45" s="273" t="s">
        <v>338</v>
      </c>
      <c r="I45" s="295"/>
      <c r="J45" s="295">
        <v>188</v>
      </c>
      <c r="K45" s="668">
        <v>300</v>
      </c>
      <c r="L45" s="668">
        <v>100</v>
      </c>
      <c r="M45" s="668"/>
      <c r="N45" s="668">
        <v>50</v>
      </c>
      <c r="O45" s="283">
        <v>0.02</v>
      </c>
      <c r="P45" s="62">
        <v>0.73</v>
      </c>
      <c r="Q45" s="62">
        <v>0.88</v>
      </c>
      <c r="R45" s="62">
        <v>1</v>
      </c>
      <c r="S45" s="282">
        <f t="shared" si="1"/>
        <v>0.64239999999999997</v>
      </c>
    </row>
    <row r="46" spans="1:40">
      <c r="A46" s="349"/>
      <c r="B46" s="36"/>
      <c r="C46" s="647" t="s">
        <v>557</v>
      </c>
      <c r="D46" s="648">
        <f t="shared" si="0"/>
        <v>402</v>
      </c>
      <c r="E46" s="273" t="s">
        <v>525</v>
      </c>
      <c r="F46" s="273" t="s">
        <v>0</v>
      </c>
      <c r="G46" s="273" t="s">
        <v>316</v>
      </c>
      <c r="H46" s="273" t="s">
        <v>339</v>
      </c>
      <c r="I46" s="295"/>
      <c r="J46" s="295">
        <v>310</v>
      </c>
      <c r="K46" s="668">
        <v>300</v>
      </c>
      <c r="L46" s="668">
        <v>100</v>
      </c>
      <c r="M46" s="668"/>
      <c r="N46" s="668">
        <v>50</v>
      </c>
      <c r="O46" s="283">
        <v>0.02</v>
      </c>
      <c r="P46" s="62">
        <v>0.73</v>
      </c>
      <c r="Q46" s="62">
        <v>0.88</v>
      </c>
      <c r="R46" s="62">
        <v>1</v>
      </c>
      <c r="S46" s="282">
        <f t="shared" si="1"/>
        <v>0.64239999999999997</v>
      </c>
    </row>
    <row r="47" spans="1:40">
      <c r="A47" s="349"/>
      <c r="B47" s="36"/>
      <c r="C47" s="647" t="s">
        <v>558</v>
      </c>
      <c r="D47" s="648">
        <f t="shared" si="0"/>
        <v>485</v>
      </c>
      <c r="E47" s="273" t="s">
        <v>525</v>
      </c>
      <c r="F47" s="273" t="s">
        <v>0</v>
      </c>
      <c r="G47" s="273" t="s">
        <v>316</v>
      </c>
      <c r="H47" s="273" t="s">
        <v>339</v>
      </c>
      <c r="I47" s="295"/>
      <c r="J47" s="295">
        <v>289</v>
      </c>
      <c r="K47" s="668">
        <v>300</v>
      </c>
      <c r="L47" s="668">
        <v>100</v>
      </c>
      <c r="M47" s="668"/>
      <c r="N47" s="668">
        <v>50</v>
      </c>
      <c r="O47" s="283">
        <v>0.02</v>
      </c>
      <c r="P47" s="62">
        <v>0.73</v>
      </c>
      <c r="Q47" s="62">
        <v>0.88</v>
      </c>
      <c r="R47" s="62">
        <v>1</v>
      </c>
      <c r="S47" s="282">
        <f t="shared" si="1"/>
        <v>0.64239999999999997</v>
      </c>
    </row>
    <row r="48" spans="1:40">
      <c r="A48" s="349"/>
      <c r="B48" s="36"/>
      <c r="C48" s="647" t="s">
        <v>559</v>
      </c>
      <c r="D48" s="648">
        <f t="shared" si="0"/>
        <v>525</v>
      </c>
      <c r="E48" s="273" t="s">
        <v>525</v>
      </c>
      <c r="F48" s="273" t="s">
        <v>0</v>
      </c>
      <c r="G48" s="273" t="s">
        <v>316</v>
      </c>
      <c r="H48" s="273"/>
      <c r="I48" s="295"/>
      <c r="J48" s="295">
        <v>250</v>
      </c>
      <c r="K48" s="668">
        <v>300</v>
      </c>
      <c r="L48" s="668">
        <v>100</v>
      </c>
      <c r="M48" s="668"/>
      <c r="N48" s="668">
        <v>50</v>
      </c>
      <c r="O48" s="283">
        <v>0.02</v>
      </c>
      <c r="P48" s="62">
        <v>0.73</v>
      </c>
      <c r="Q48" s="62">
        <v>0.88</v>
      </c>
      <c r="R48" s="62">
        <v>1</v>
      </c>
      <c r="S48" s="282">
        <f t="shared" si="1"/>
        <v>0.64239999999999997</v>
      </c>
    </row>
    <row r="49" spans="1:19">
      <c r="A49" s="349"/>
      <c r="B49" s="36"/>
      <c r="C49" s="647" t="s">
        <v>560</v>
      </c>
      <c r="D49" s="648">
        <f t="shared" si="0"/>
        <v>559</v>
      </c>
      <c r="E49" s="273" t="s">
        <v>525</v>
      </c>
      <c r="F49" s="273" t="s">
        <v>0</v>
      </c>
      <c r="G49" s="273" t="s">
        <v>316</v>
      </c>
      <c r="H49" s="273" t="s">
        <v>116</v>
      </c>
      <c r="I49" s="295"/>
      <c r="J49" s="295">
        <v>297</v>
      </c>
      <c r="K49" s="668">
        <v>300</v>
      </c>
      <c r="L49" s="668">
        <v>100</v>
      </c>
      <c r="M49" s="668"/>
      <c r="N49" s="668">
        <v>50</v>
      </c>
      <c r="O49" s="283">
        <v>0.02</v>
      </c>
      <c r="P49" s="62">
        <v>0.73</v>
      </c>
      <c r="Q49" s="62">
        <v>0.88</v>
      </c>
      <c r="R49" s="62">
        <v>1</v>
      </c>
      <c r="S49" s="282">
        <f t="shared" si="1"/>
        <v>0.64239999999999997</v>
      </c>
    </row>
    <row r="50" spans="1:19">
      <c r="A50" s="349"/>
      <c r="B50" s="36"/>
      <c r="C50" s="647" t="s">
        <v>561</v>
      </c>
      <c r="D50" s="648">
        <f t="shared" si="0"/>
        <v>591</v>
      </c>
      <c r="E50" s="273" t="s">
        <v>525</v>
      </c>
      <c r="F50" s="273" t="s">
        <v>0</v>
      </c>
      <c r="G50" s="273" t="s">
        <v>316</v>
      </c>
      <c r="H50" s="273"/>
      <c r="I50" s="295"/>
      <c r="J50" s="295">
        <v>400</v>
      </c>
      <c r="K50" s="668">
        <v>300</v>
      </c>
      <c r="L50" s="668">
        <v>100</v>
      </c>
      <c r="M50" s="668"/>
      <c r="N50" s="668">
        <v>50</v>
      </c>
      <c r="O50" s="283">
        <v>0.02</v>
      </c>
      <c r="P50" s="62">
        <v>0.73</v>
      </c>
      <c r="Q50" s="62">
        <v>0.88</v>
      </c>
      <c r="R50" s="62">
        <v>1</v>
      </c>
      <c r="S50" s="282">
        <f t="shared" si="1"/>
        <v>0.64239999999999997</v>
      </c>
    </row>
    <row r="51" spans="1:19">
      <c r="A51" s="349"/>
      <c r="B51" s="36"/>
      <c r="C51" s="647" t="s">
        <v>562</v>
      </c>
      <c r="D51" s="648">
        <f t="shared" si="0"/>
        <v>623</v>
      </c>
      <c r="E51" s="273" t="s">
        <v>525</v>
      </c>
      <c r="F51" s="273" t="s">
        <v>0</v>
      </c>
      <c r="G51" s="273" t="s">
        <v>316</v>
      </c>
      <c r="H51" s="273" t="s">
        <v>115</v>
      </c>
      <c r="I51" s="295"/>
      <c r="J51" s="295">
        <v>465</v>
      </c>
      <c r="K51" s="668">
        <v>300</v>
      </c>
      <c r="L51" s="668">
        <v>100</v>
      </c>
      <c r="M51" s="668"/>
      <c r="N51" s="668">
        <v>50</v>
      </c>
      <c r="O51" s="283">
        <v>0.02</v>
      </c>
      <c r="P51" s="62">
        <v>0.73</v>
      </c>
      <c r="Q51" s="62">
        <v>0.88</v>
      </c>
      <c r="R51" s="62">
        <v>1</v>
      </c>
      <c r="S51" s="282">
        <f t="shared" si="1"/>
        <v>0.64239999999999997</v>
      </c>
    </row>
    <row r="52" spans="1:19">
      <c r="A52" s="349"/>
      <c r="B52" s="36"/>
      <c r="C52" s="647" t="s">
        <v>563</v>
      </c>
      <c r="D52" s="648">
        <f t="shared" si="0"/>
        <v>706</v>
      </c>
      <c r="E52" s="273" t="s">
        <v>525</v>
      </c>
      <c r="F52" s="273" t="s">
        <v>331</v>
      </c>
      <c r="G52" s="273" t="s">
        <v>316</v>
      </c>
      <c r="H52" s="273"/>
      <c r="I52" s="295"/>
      <c r="J52" s="295">
        <v>84</v>
      </c>
      <c r="K52" s="668">
        <v>300</v>
      </c>
      <c r="L52" s="668">
        <v>100</v>
      </c>
      <c r="M52" s="668"/>
      <c r="N52" s="668">
        <v>50</v>
      </c>
      <c r="O52" s="283">
        <v>0.02</v>
      </c>
      <c r="P52" s="62">
        <v>0.73</v>
      </c>
      <c r="Q52" s="62">
        <v>0.88</v>
      </c>
      <c r="R52" s="62">
        <v>1</v>
      </c>
      <c r="S52" s="282">
        <f t="shared" si="1"/>
        <v>0.64239999999999997</v>
      </c>
    </row>
    <row r="53" spans="1:19">
      <c r="A53" s="349"/>
      <c r="B53" s="36"/>
      <c r="C53" s="647" t="s">
        <v>564</v>
      </c>
      <c r="D53" s="648">
        <f t="shared" si="0"/>
        <v>735</v>
      </c>
      <c r="E53" s="273" t="s">
        <v>525</v>
      </c>
      <c r="F53" s="273" t="s">
        <v>331</v>
      </c>
      <c r="G53" s="273" t="s">
        <v>316</v>
      </c>
      <c r="H53" s="273" t="s">
        <v>114</v>
      </c>
      <c r="I53" s="295"/>
      <c r="J53" s="295">
        <v>98</v>
      </c>
      <c r="K53" s="668">
        <v>300</v>
      </c>
      <c r="L53" s="668">
        <v>100</v>
      </c>
      <c r="M53" s="668"/>
      <c r="N53" s="668">
        <v>50</v>
      </c>
      <c r="O53" s="283">
        <v>0.02</v>
      </c>
      <c r="P53" s="62">
        <v>0.73</v>
      </c>
      <c r="Q53" s="62">
        <v>0.88</v>
      </c>
      <c r="R53" s="62">
        <v>1</v>
      </c>
      <c r="S53" s="282">
        <f t="shared" si="1"/>
        <v>0.64239999999999997</v>
      </c>
    </row>
    <row r="54" spans="1:19">
      <c r="A54" s="349"/>
      <c r="B54" s="36"/>
      <c r="C54" s="647" t="s">
        <v>565</v>
      </c>
      <c r="D54" s="648">
        <f t="shared" si="0"/>
        <v>775</v>
      </c>
      <c r="E54" s="273" t="s">
        <v>525</v>
      </c>
      <c r="F54" s="273" t="s">
        <v>331</v>
      </c>
      <c r="G54" s="273" t="s">
        <v>316</v>
      </c>
      <c r="H54" s="273" t="s">
        <v>336</v>
      </c>
      <c r="I54" s="295"/>
      <c r="J54" s="295">
        <v>154</v>
      </c>
      <c r="K54" s="668">
        <v>300</v>
      </c>
      <c r="L54" s="668">
        <v>100</v>
      </c>
      <c r="M54" s="668"/>
      <c r="N54" s="668">
        <v>50</v>
      </c>
      <c r="O54" s="283">
        <v>0.02</v>
      </c>
      <c r="P54" s="62">
        <v>0.73</v>
      </c>
      <c r="Q54" s="62">
        <v>0.88</v>
      </c>
      <c r="R54" s="62">
        <v>1</v>
      </c>
      <c r="S54" s="282">
        <f t="shared" si="1"/>
        <v>0.64239999999999997</v>
      </c>
    </row>
    <row r="55" spans="1:19">
      <c r="A55" s="349"/>
      <c r="B55" s="36"/>
      <c r="C55" s="647" t="s">
        <v>566</v>
      </c>
      <c r="D55" s="648">
        <f t="shared" si="0"/>
        <v>815</v>
      </c>
      <c r="E55" s="273" t="s">
        <v>525</v>
      </c>
      <c r="F55" s="273" t="s">
        <v>331</v>
      </c>
      <c r="G55" s="273" t="s">
        <v>316</v>
      </c>
      <c r="H55" s="273"/>
      <c r="I55" s="295"/>
      <c r="J55" s="295">
        <v>168</v>
      </c>
      <c r="K55" s="668">
        <v>300</v>
      </c>
      <c r="L55" s="668">
        <v>100</v>
      </c>
      <c r="M55" s="668"/>
      <c r="N55" s="668">
        <v>50</v>
      </c>
      <c r="O55" s="283">
        <v>0.02</v>
      </c>
      <c r="P55" s="62">
        <v>0.73</v>
      </c>
      <c r="Q55" s="62">
        <v>0.88</v>
      </c>
      <c r="R55" s="62">
        <v>1</v>
      </c>
      <c r="S55" s="282">
        <f t="shared" si="1"/>
        <v>0.64239999999999997</v>
      </c>
    </row>
    <row r="56" spans="1:19">
      <c r="A56" s="349"/>
      <c r="B56" s="36"/>
      <c r="C56" s="647" t="s">
        <v>567</v>
      </c>
      <c r="D56" s="648">
        <f t="shared" si="0"/>
        <v>844</v>
      </c>
      <c r="E56" s="273" t="s">
        <v>525</v>
      </c>
      <c r="F56" s="273" t="s">
        <v>331</v>
      </c>
      <c r="G56" s="273" t="s">
        <v>316</v>
      </c>
      <c r="H56" s="273"/>
      <c r="I56" s="295"/>
      <c r="J56" s="295">
        <v>185</v>
      </c>
      <c r="K56" s="668">
        <v>300</v>
      </c>
      <c r="L56" s="668">
        <v>100</v>
      </c>
      <c r="M56" s="668"/>
      <c r="N56" s="668">
        <v>50</v>
      </c>
      <c r="O56" s="283">
        <v>0.02</v>
      </c>
      <c r="P56" s="62">
        <v>0.73</v>
      </c>
      <c r="Q56" s="62">
        <v>0.88</v>
      </c>
      <c r="R56" s="62">
        <v>1</v>
      </c>
      <c r="S56" s="282">
        <f t="shared" si="1"/>
        <v>0.64239999999999997</v>
      </c>
    </row>
    <row r="57" spans="1:19">
      <c r="A57" s="349"/>
      <c r="B57" s="36"/>
      <c r="C57" s="647" t="s">
        <v>568</v>
      </c>
      <c r="D57" s="648">
        <f t="shared" si="0"/>
        <v>876</v>
      </c>
      <c r="E57" s="273" t="s">
        <v>525</v>
      </c>
      <c r="F57" s="273" t="s">
        <v>331</v>
      </c>
      <c r="G57" s="273" t="s">
        <v>316</v>
      </c>
      <c r="H57" s="273"/>
      <c r="I57" s="295"/>
      <c r="J57" s="295">
        <v>185</v>
      </c>
      <c r="K57" s="668">
        <v>300</v>
      </c>
      <c r="L57" s="668">
        <v>100</v>
      </c>
      <c r="M57" s="668"/>
      <c r="N57" s="668">
        <v>50</v>
      </c>
      <c r="O57" s="283">
        <v>0.02</v>
      </c>
      <c r="P57" s="62">
        <v>0.73</v>
      </c>
      <c r="Q57" s="62">
        <v>0.88</v>
      </c>
      <c r="R57" s="62">
        <v>1</v>
      </c>
      <c r="S57" s="282">
        <f t="shared" si="1"/>
        <v>0.64239999999999997</v>
      </c>
    </row>
    <row r="58" spans="1:19">
      <c r="A58" s="349"/>
      <c r="B58" s="36"/>
      <c r="C58" s="647" t="s">
        <v>569</v>
      </c>
      <c r="D58" s="648">
        <f t="shared" si="0"/>
        <v>908</v>
      </c>
      <c r="E58" s="273" t="s">
        <v>525</v>
      </c>
      <c r="F58" s="273" t="s">
        <v>331</v>
      </c>
      <c r="G58" s="273" t="s">
        <v>316</v>
      </c>
      <c r="H58" s="273" t="s">
        <v>339</v>
      </c>
      <c r="I58" s="295"/>
      <c r="J58" s="295">
        <v>282</v>
      </c>
      <c r="K58" s="668">
        <v>300</v>
      </c>
      <c r="L58" s="668">
        <v>100</v>
      </c>
      <c r="M58" s="668"/>
      <c r="N58" s="668">
        <v>50</v>
      </c>
      <c r="O58" s="283">
        <v>0.02</v>
      </c>
      <c r="P58" s="62">
        <v>0.73</v>
      </c>
      <c r="Q58" s="62">
        <v>0.88</v>
      </c>
      <c r="R58" s="62">
        <v>1</v>
      </c>
      <c r="S58" s="282">
        <f t="shared" si="1"/>
        <v>0.64239999999999997</v>
      </c>
    </row>
    <row r="59" spans="1:19">
      <c r="A59" s="349"/>
      <c r="B59" s="36"/>
      <c r="C59" s="647" t="s">
        <v>570</v>
      </c>
      <c r="D59" s="648">
        <f t="shared" si="0"/>
        <v>948</v>
      </c>
      <c r="E59" s="273" t="s">
        <v>525</v>
      </c>
      <c r="F59" s="273" t="s">
        <v>331</v>
      </c>
      <c r="G59" s="273" t="s">
        <v>316</v>
      </c>
      <c r="H59" s="273" t="s">
        <v>334</v>
      </c>
      <c r="I59" s="295"/>
      <c r="J59" s="295">
        <v>214</v>
      </c>
      <c r="K59" s="668">
        <v>300</v>
      </c>
      <c r="L59" s="668">
        <v>100</v>
      </c>
      <c r="M59" s="668"/>
      <c r="N59" s="668">
        <v>50</v>
      </c>
      <c r="O59" s="283">
        <v>0.02</v>
      </c>
      <c r="P59" s="62">
        <v>0.73</v>
      </c>
      <c r="Q59" s="62">
        <v>0.88</v>
      </c>
      <c r="R59" s="62">
        <v>1</v>
      </c>
      <c r="S59" s="282">
        <f t="shared" si="1"/>
        <v>0.64239999999999997</v>
      </c>
    </row>
    <row r="60" spans="1:19">
      <c r="A60" s="349"/>
      <c r="B60" s="36"/>
      <c r="C60" s="647" t="s">
        <v>571</v>
      </c>
      <c r="D60" s="648">
        <f t="shared" si="0"/>
        <v>1031</v>
      </c>
      <c r="E60" s="273" t="s">
        <v>525</v>
      </c>
      <c r="F60" s="273" t="s">
        <v>331</v>
      </c>
      <c r="G60" s="273" t="s">
        <v>316</v>
      </c>
      <c r="H60" s="273"/>
      <c r="I60" s="295"/>
      <c r="J60" s="295">
        <v>175</v>
      </c>
      <c r="K60" s="668">
        <v>300</v>
      </c>
      <c r="L60" s="668">
        <v>100</v>
      </c>
      <c r="M60" s="668"/>
      <c r="N60" s="668">
        <v>50</v>
      </c>
      <c r="O60" s="283">
        <v>0.02</v>
      </c>
      <c r="P60" s="62">
        <v>0.73</v>
      </c>
      <c r="Q60" s="62">
        <v>0.88</v>
      </c>
      <c r="R60" s="62">
        <v>1</v>
      </c>
      <c r="S60" s="282">
        <f t="shared" si="1"/>
        <v>0.64239999999999997</v>
      </c>
    </row>
    <row r="61" spans="1:19">
      <c r="A61" s="349"/>
      <c r="B61" s="36"/>
      <c r="C61" s="647" t="s">
        <v>572</v>
      </c>
      <c r="D61" s="648">
        <f t="shared" si="0"/>
        <v>1063</v>
      </c>
      <c r="E61" s="273" t="s">
        <v>525</v>
      </c>
      <c r="F61" s="273" t="s">
        <v>331</v>
      </c>
      <c r="G61" s="273" t="s">
        <v>316</v>
      </c>
      <c r="H61" s="273"/>
      <c r="I61" s="295"/>
      <c r="J61" s="295">
        <v>400</v>
      </c>
      <c r="K61" s="668">
        <v>300</v>
      </c>
      <c r="L61" s="668">
        <v>100</v>
      </c>
      <c r="M61" s="668"/>
      <c r="N61" s="668">
        <v>50</v>
      </c>
      <c r="O61" s="283">
        <v>0.02</v>
      </c>
      <c r="P61" s="62">
        <v>0.73</v>
      </c>
      <c r="Q61" s="62">
        <v>0.88</v>
      </c>
      <c r="R61" s="62">
        <v>1</v>
      </c>
      <c r="S61" s="282">
        <f t="shared" si="1"/>
        <v>0.64239999999999997</v>
      </c>
    </row>
    <row r="62" spans="1:19">
      <c r="A62" s="349"/>
      <c r="B62" s="36"/>
      <c r="C62" s="647" t="s">
        <v>573</v>
      </c>
      <c r="D62" s="648">
        <f t="shared" si="0"/>
        <v>1095</v>
      </c>
      <c r="E62" s="273" t="s">
        <v>525</v>
      </c>
      <c r="F62" s="273" t="s">
        <v>331</v>
      </c>
      <c r="G62" s="273" t="s">
        <v>316</v>
      </c>
      <c r="H62" s="273" t="s">
        <v>113</v>
      </c>
      <c r="I62" s="295"/>
      <c r="J62" s="295">
        <v>442</v>
      </c>
      <c r="K62" s="668">
        <v>300</v>
      </c>
      <c r="L62" s="668">
        <v>100</v>
      </c>
      <c r="M62" s="668"/>
      <c r="N62" s="668">
        <v>50</v>
      </c>
      <c r="O62" s="283">
        <v>0.02</v>
      </c>
      <c r="P62" s="62">
        <v>0.73</v>
      </c>
      <c r="Q62" s="62">
        <v>0.88</v>
      </c>
      <c r="R62" s="62">
        <v>1</v>
      </c>
      <c r="S62" s="282">
        <f t="shared" si="1"/>
        <v>0.64239999999999997</v>
      </c>
    </row>
    <row r="63" spans="1:19">
      <c r="A63" s="349"/>
      <c r="B63" s="36"/>
      <c r="C63" s="647" t="s">
        <v>574</v>
      </c>
      <c r="D63" s="648">
        <f t="shared" si="0"/>
        <v>1135</v>
      </c>
      <c r="E63" s="273" t="s">
        <v>525</v>
      </c>
      <c r="F63" s="273" t="s">
        <v>331</v>
      </c>
      <c r="G63" s="273" t="s">
        <v>316</v>
      </c>
      <c r="H63" s="273" t="s">
        <v>339</v>
      </c>
      <c r="I63" s="295"/>
      <c r="J63" s="295">
        <v>462</v>
      </c>
      <c r="K63" s="668">
        <v>300</v>
      </c>
      <c r="L63" s="668">
        <v>100</v>
      </c>
      <c r="M63" s="668"/>
      <c r="N63" s="668">
        <v>50</v>
      </c>
      <c r="O63" s="283">
        <v>0.02</v>
      </c>
      <c r="P63" s="62">
        <v>0.73</v>
      </c>
      <c r="Q63" s="62">
        <v>0.88</v>
      </c>
      <c r="R63" s="62">
        <v>1</v>
      </c>
      <c r="S63" s="282">
        <f t="shared" si="1"/>
        <v>0.64239999999999997</v>
      </c>
    </row>
    <row r="64" spans="1:19">
      <c r="A64" s="349"/>
      <c r="B64" s="36"/>
      <c r="C64" s="647" t="s">
        <v>513</v>
      </c>
      <c r="D64" s="648">
        <f t="shared" si="0"/>
        <v>1301</v>
      </c>
      <c r="E64" s="273" t="s">
        <v>525</v>
      </c>
      <c r="F64" s="273" t="s">
        <v>66</v>
      </c>
      <c r="G64" s="273" t="s">
        <v>316</v>
      </c>
      <c r="H64" s="273" t="s">
        <v>341</v>
      </c>
      <c r="I64" s="295"/>
      <c r="J64" s="295">
        <v>41</v>
      </c>
      <c r="K64" s="668">
        <v>500</v>
      </c>
      <c r="L64" s="668">
        <v>100</v>
      </c>
      <c r="M64" s="668"/>
      <c r="N64" s="668">
        <v>25</v>
      </c>
      <c r="O64" s="283">
        <v>0.02</v>
      </c>
      <c r="P64" s="62">
        <v>0.7</v>
      </c>
      <c r="Q64" s="62">
        <v>0.88</v>
      </c>
      <c r="R64" s="62">
        <v>1</v>
      </c>
      <c r="S64" s="282">
        <f t="shared" si="1"/>
        <v>0.61599999999999999</v>
      </c>
    </row>
    <row r="65" spans="1:19">
      <c r="A65" s="349"/>
      <c r="B65" s="36"/>
      <c r="C65" s="647" t="s">
        <v>514</v>
      </c>
      <c r="D65" s="648">
        <f t="shared" si="0"/>
        <v>1348</v>
      </c>
      <c r="E65" s="273" t="s">
        <v>525</v>
      </c>
      <c r="F65" s="273" t="s">
        <v>66</v>
      </c>
      <c r="G65" s="273" t="s">
        <v>316</v>
      </c>
      <c r="H65" s="273"/>
      <c r="I65" s="295"/>
      <c r="J65" s="295">
        <v>51</v>
      </c>
      <c r="K65" s="668">
        <v>500</v>
      </c>
      <c r="L65" s="668">
        <v>100</v>
      </c>
      <c r="M65" s="668"/>
      <c r="N65" s="668">
        <v>25</v>
      </c>
      <c r="O65" s="283">
        <v>0.02</v>
      </c>
      <c r="P65" s="62">
        <v>0.7</v>
      </c>
      <c r="Q65" s="62">
        <v>0.88</v>
      </c>
      <c r="R65" s="62">
        <v>1</v>
      </c>
      <c r="S65" s="282">
        <f t="shared" si="1"/>
        <v>0.61599999999999999</v>
      </c>
    </row>
    <row r="66" spans="1:19">
      <c r="A66" s="349"/>
      <c r="B66" s="36"/>
      <c r="C66" s="647" t="s">
        <v>515</v>
      </c>
      <c r="D66" s="648">
        <f t="shared" si="0"/>
        <v>1379</v>
      </c>
      <c r="E66" s="273" t="s">
        <v>525</v>
      </c>
      <c r="F66" s="273" t="s">
        <v>66</v>
      </c>
      <c r="G66" s="273" t="s">
        <v>316</v>
      </c>
      <c r="H66" s="273"/>
      <c r="I66" s="295"/>
      <c r="J66" s="295">
        <v>54</v>
      </c>
      <c r="K66" s="668">
        <v>500</v>
      </c>
      <c r="L66" s="668">
        <v>100</v>
      </c>
      <c r="M66" s="668"/>
      <c r="N66" s="668">
        <v>25</v>
      </c>
      <c r="O66" s="283">
        <v>0.02</v>
      </c>
      <c r="P66" s="62">
        <v>0.7</v>
      </c>
      <c r="Q66" s="62">
        <v>0.88</v>
      </c>
      <c r="R66" s="62">
        <v>1</v>
      </c>
      <c r="S66" s="282">
        <f t="shared" si="1"/>
        <v>0.61599999999999999</v>
      </c>
    </row>
    <row r="67" spans="1:19">
      <c r="A67" s="349"/>
      <c r="B67" s="36"/>
      <c r="C67" s="647" t="s">
        <v>516</v>
      </c>
      <c r="D67" s="648">
        <f t="shared" si="0"/>
        <v>1410</v>
      </c>
      <c r="E67" s="273" t="s">
        <v>525</v>
      </c>
      <c r="F67" s="273" t="s">
        <v>66</v>
      </c>
      <c r="G67" s="273" t="s">
        <v>316</v>
      </c>
      <c r="H67" s="273"/>
      <c r="I67" s="295"/>
      <c r="J67" s="295">
        <v>73</v>
      </c>
      <c r="K67" s="668">
        <v>500</v>
      </c>
      <c r="L67" s="668">
        <v>100</v>
      </c>
      <c r="M67" s="668"/>
      <c r="N67" s="668">
        <v>25</v>
      </c>
      <c r="O67" s="283">
        <v>0.02</v>
      </c>
      <c r="P67" s="62">
        <v>0.7</v>
      </c>
      <c r="Q67" s="62">
        <v>0.88</v>
      </c>
      <c r="R67" s="62">
        <v>1</v>
      </c>
      <c r="S67" s="282">
        <f t="shared" si="1"/>
        <v>0.61599999999999999</v>
      </c>
    </row>
    <row r="68" spans="1:19">
      <c r="A68" s="349"/>
      <c r="B68" s="36"/>
      <c r="C68" s="647" t="s">
        <v>517</v>
      </c>
      <c r="D68" s="648">
        <f t="shared" si="0"/>
        <v>1442</v>
      </c>
      <c r="E68" s="273" t="s">
        <v>525</v>
      </c>
      <c r="F68" s="273" t="s">
        <v>66</v>
      </c>
      <c r="G68" s="273" t="s">
        <v>316</v>
      </c>
      <c r="H68" s="273"/>
      <c r="I68" s="295"/>
      <c r="J68" s="295">
        <v>77</v>
      </c>
      <c r="K68" s="668">
        <v>500</v>
      </c>
      <c r="L68" s="668">
        <v>100</v>
      </c>
      <c r="M68" s="668"/>
      <c r="N68" s="668">
        <v>25</v>
      </c>
      <c r="O68" s="283">
        <v>0.02</v>
      </c>
      <c r="P68" s="62">
        <v>0.7</v>
      </c>
      <c r="Q68" s="62">
        <v>0.88</v>
      </c>
      <c r="R68" s="62">
        <v>1</v>
      </c>
      <c r="S68" s="282">
        <f t="shared" si="1"/>
        <v>0.61599999999999999</v>
      </c>
    </row>
    <row r="69" spans="1:19">
      <c r="A69" s="349"/>
      <c r="B69" s="36"/>
      <c r="C69" s="647" t="s">
        <v>519</v>
      </c>
      <c r="D69" s="648">
        <f t="shared" si="0"/>
        <v>1473</v>
      </c>
      <c r="E69" s="273" t="s">
        <v>525</v>
      </c>
      <c r="F69" s="273" t="s">
        <v>66</v>
      </c>
      <c r="G69" s="273" t="s">
        <v>316</v>
      </c>
      <c r="H69" s="273"/>
      <c r="I69" s="295"/>
      <c r="J69" s="295">
        <v>124</v>
      </c>
      <c r="K69" s="668">
        <v>500</v>
      </c>
      <c r="L69" s="668">
        <v>100</v>
      </c>
      <c r="M69" s="668"/>
      <c r="N69" s="668">
        <v>25</v>
      </c>
      <c r="O69" s="283">
        <v>0.02</v>
      </c>
      <c r="P69" s="62">
        <v>0.7</v>
      </c>
      <c r="Q69" s="62">
        <v>0.88</v>
      </c>
      <c r="R69" s="62">
        <v>1</v>
      </c>
      <c r="S69" s="282">
        <f t="shared" si="1"/>
        <v>0.61599999999999999</v>
      </c>
    </row>
    <row r="70" spans="1:19">
      <c r="A70" s="349"/>
      <c r="B70" s="36"/>
      <c r="C70" s="647" t="s">
        <v>520</v>
      </c>
      <c r="D70" s="648">
        <f t="shared" ref="D70:D78" si="2">MATCH(C70,FxLib_names,0)-1</f>
        <v>1505</v>
      </c>
      <c r="E70" s="273" t="s">
        <v>525</v>
      </c>
      <c r="F70" s="273" t="s">
        <v>66</v>
      </c>
      <c r="G70" s="273" t="s">
        <v>316</v>
      </c>
      <c r="H70" s="273" t="s">
        <v>340</v>
      </c>
      <c r="I70" s="295"/>
      <c r="J70" s="295">
        <v>191</v>
      </c>
      <c r="K70" s="668">
        <v>500</v>
      </c>
      <c r="L70" s="668">
        <v>100</v>
      </c>
      <c r="M70" s="668"/>
      <c r="N70" s="668">
        <v>25</v>
      </c>
      <c r="O70" s="283">
        <v>0.02</v>
      </c>
      <c r="P70" s="62">
        <v>0.7</v>
      </c>
      <c r="Q70" s="62">
        <v>0.88</v>
      </c>
      <c r="R70" s="62">
        <v>1</v>
      </c>
      <c r="S70" s="282">
        <f t="shared" si="1"/>
        <v>0.61599999999999999</v>
      </c>
    </row>
    <row r="71" spans="1:19">
      <c r="A71" s="349"/>
      <c r="B71" s="36"/>
      <c r="C71" s="647" t="s">
        <v>521</v>
      </c>
      <c r="D71" s="648">
        <f t="shared" si="2"/>
        <v>1552</v>
      </c>
      <c r="E71" s="273" t="s">
        <v>525</v>
      </c>
      <c r="F71" s="273" t="s">
        <v>66</v>
      </c>
      <c r="G71" s="273" t="s">
        <v>316</v>
      </c>
      <c r="H71" s="273" t="s">
        <v>340</v>
      </c>
      <c r="I71" s="295"/>
      <c r="J71" s="295">
        <v>196</v>
      </c>
      <c r="K71" s="668">
        <v>500</v>
      </c>
      <c r="L71" s="668">
        <v>100</v>
      </c>
      <c r="M71" s="668"/>
      <c r="N71" s="668">
        <v>25</v>
      </c>
      <c r="O71" s="283">
        <v>0.02</v>
      </c>
      <c r="P71" s="62">
        <v>0.7</v>
      </c>
      <c r="Q71" s="62">
        <v>0.88</v>
      </c>
      <c r="R71" s="62">
        <v>1</v>
      </c>
      <c r="S71" s="282">
        <f t="shared" si="1"/>
        <v>0.61599999999999999</v>
      </c>
    </row>
    <row r="72" spans="1:19">
      <c r="A72" s="349"/>
      <c r="B72" s="36"/>
      <c r="C72" s="647" t="s">
        <v>522</v>
      </c>
      <c r="D72" s="648">
        <f t="shared" si="2"/>
        <v>1707</v>
      </c>
      <c r="E72" s="273" t="s">
        <v>525</v>
      </c>
      <c r="F72" s="273" t="s">
        <v>66</v>
      </c>
      <c r="G72" s="273" t="s">
        <v>316</v>
      </c>
      <c r="H72" s="273" t="s">
        <v>343</v>
      </c>
      <c r="I72" s="295"/>
      <c r="J72" s="295">
        <v>216</v>
      </c>
      <c r="K72" s="668">
        <v>500</v>
      </c>
      <c r="L72" s="668">
        <v>100</v>
      </c>
      <c r="M72" s="668"/>
      <c r="N72" s="668">
        <v>25</v>
      </c>
      <c r="O72" s="283">
        <v>0.02</v>
      </c>
      <c r="P72" s="62">
        <v>0.7</v>
      </c>
      <c r="Q72" s="62">
        <v>0.88</v>
      </c>
      <c r="R72" s="62">
        <v>1</v>
      </c>
      <c r="S72" s="282">
        <f t="shared" si="1"/>
        <v>0.61599999999999999</v>
      </c>
    </row>
    <row r="73" spans="1:19">
      <c r="A73" s="349"/>
      <c r="B73" s="36"/>
      <c r="C73" s="647" t="s">
        <v>523</v>
      </c>
      <c r="D73" s="648">
        <f t="shared" si="2"/>
        <v>1754</v>
      </c>
      <c r="E73" s="273" t="s">
        <v>525</v>
      </c>
      <c r="F73" s="273" t="s">
        <v>66</v>
      </c>
      <c r="G73" s="273" t="s">
        <v>316</v>
      </c>
      <c r="H73" s="273" t="s">
        <v>343</v>
      </c>
      <c r="I73" s="295"/>
      <c r="J73" s="295">
        <v>217</v>
      </c>
      <c r="K73" s="668">
        <v>500</v>
      </c>
      <c r="L73" s="668">
        <v>100</v>
      </c>
      <c r="M73" s="668"/>
      <c r="N73" s="668">
        <v>25</v>
      </c>
      <c r="O73" s="283">
        <v>0.02</v>
      </c>
      <c r="P73" s="62">
        <v>0.7</v>
      </c>
      <c r="Q73" s="62">
        <v>0.88</v>
      </c>
      <c r="R73" s="62">
        <v>1</v>
      </c>
      <c r="S73" s="282">
        <f t="shared" si="1"/>
        <v>0.61599999999999999</v>
      </c>
    </row>
    <row r="74" spans="1:19">
      <c r="A74" s="349"/>
      <c r="B74" s="36"/>
      <c r="C74" s="647" t="s">
        <v>524</v>
      </c>
      <c r="D74" s="648">
        <f t="shared" si="2"/>
        <v>1801</v>
      </c>
      <c r="E74" s="273" t="s">
        <v>525</v>
      </c>
      <c r="F74" s="273" t="s">
        <v>66</v>
      </c>
      <c r="G74" s="273" t="s">
        <v>316</v>
      </c>
      <c r="H74" s="273" t="s">
        <v>342</v>
      </c>
      <c r="I74" s="295"/>
      <c r="J74" s="295">
        <v>238</v>
      </c>
      <c r="K74" s="668">
        <v>500</v>
      </c>
      <c r="L74" s="668">
        <v>100</v>
      </c>
      <c r="M74" s="668"/>
      <c r="N74" s="668">
        <v>25</v>
      </c>
      <c r="O74" s="283">
        <v>0.02</v>
      </c>
      <c r="P74" s="62">
        <v>0.7</v>
      </c>
      <c r="Q74" s="62">
        <v>0.88</v>
      </c>
      <c r="R74" s="62">
        <v>1</v>
      </c>
      <c r="S74" s="282">
        <f t="shared" si="1"/>
        <v>0.61599999999999999</v>
      </c>
    </row>
    <row r="75" spans="1:19">
      <c r="A75" s="349"/>
      <c r="B75" s="36"/>
      <c r="C75" s="647" t="s">
        <v>2778</v>
      </c>
      <c r="D75" s="648">
        <f t="shared" si="2"/>
        <v>1956</v>
      </c>
      <c r="E75" s="273" t="s">
        <v>3348</v>
      </c>
      <c r="F75" s="273" t="s">
        <v>66</v>
      </c>
      <c r="G75" s="273" t="s">
        <v>3349</v>
      </c>
      <c r="H75" s="273" t="s">
        <v>3350</v>
      </c>
      <c r="I75" s="295"/>
      <c r="J75" s="295">
        <v>34</v>
      </c>
      <c r="K75" s="668">
        <v>500</v>
      </c>
      <c r="L75" s="668">
        <v>100</v>
      </c>
      <c r="M75" s="668">
        <v>0</v>
      </c>
      <c r="N75" s="668">
        <v>25</v>
      </c>
      <c r="O75" s="283">
        <v>0.02</v>
      </c>
      <c r="P75" s="62">
        <v>0.7</v>
      </c>
      <c r="Q75" s="62">
        <v>0.88</v>
      </c>
      <c r="R75" s="62">
        <v>1</v>
      </c>
      <c r="S75" s="282">
        <f t="shared" ref="S75" si="3">Q75*P75*R75</f>
        <v>0.61599999999999999</v>
      </c>
    </row>
    <row r="76" spans="1:19">
      <c r="A76" s="349"/>
      <c r="B76" s="36"/>
      <c r="C76" s="647" t="s">
        <v>3343</v>
      </c>
      <c r="D76" s="648">
        <f t="shared" si="2"/>
        <v>2003</v>
      </c>
      <c r="E76" s="273" t="s">
        <v>3348</v>
      </c>
      <c r="F76" s="273" t="s">
        <v>66</v>
      </c>
      <c r="G76" s="273" t="s">
        <v>3351</v>
      </c>
      <c r="H76" s="273" t="s">
        <v>3352</v>
      </c>
      <c r="I76" s="295"/>
      <c r="J76" s="295">
        <v>48</v>
      </c>
      <c r="K76" s="668">
        <v>500</v>
      </c>
      <c r="L76" s="668">
        <v>100</v>
      </c>
      <c r="M76" s="668">
        <v>0</v>
      </c>
      <c r="N76" s="668">
        <v>25</v>
      </c>
      <c r="O76" s="283">
        <v>0.02</v>
      </c>
      <c r="P76" s="62">
        <v>0.7</v>
      </c>
      <c r="Q76" s="62">
        <v>0.92</v>
      </c>
      <c r="R76" s="62">
        <v>1</v>
      </c>
      <c r="S76" s="282">
        <f t="shared" ref="S76" si="4">Q76*P76*R76</f>
        <v>0.64400000000000002</v>
      </c>
    </row>
    <row r="77" spans="1:19">
      <c r="A77" s="349"/>
      <c r="B77" s="36" t="s">
        <v>3357</v>
      </c>
      <c r="C77" s="647" t="s">
        <v>3345</v>
      </c>
      <c r="D77" s="648">
        <f t="shared" si="2"/>
        <v>2050</v>
      </c>
      <c r="E77" s="273" t="s">
        <v>3348</v>
      </c>
      <c r="F77" s="273" t="s">
        <v>66</v>
      </c>
      <c r="G77" s="273" t="s">
        <v>3353</v>
      </c>
      <c r="H77" s="273" t="s">
        <v>3354</v>
      </c>
      <c r="I77" s="295"/>
      <c r="J77" s="295">
        <v>91</v>
      </c>
      <c r="K77" s="668">
        <v>500</v>
      </c>
      <c r="L77" s="668">
        <v>100</v>
      </c>
      <c r="M77" s="668">
        <v>0</v>
      </c>
      <c r="N77" s="668">
        <v>25</v>
      </c>
      <c r="O77" s="283">
        <v>0.02</v>
      </c>
      <c r="P77" s="62">
        <v>0.75</v>
      </c>
      <c r="Q77" s="62">
        <v>0.92</v>
      </c>
      <c r="R77" s="62">
        <v>1</v>
      </c>
      <c r="S77" s="282">
        <f t="shared" ref="S77" si="5">Q77*P77*R77</f>
        <v>0.69000000000000006</v>
      </c>
    </row>
    <row r="78" spans="1:19">
      <c r="A78" s="349"/>
      <c r="B78" s="36"/>
      <c r="C78" s="647" t="s">
        <v>3347</v>
      </c>
      <c r="D78" s="648">
        <f t="shared" si="2"/>
        <v>2097</v>
      </c>
      <c r="E78" s="273" t="s">
        <v>3348</v>
      </c>
      <c r="F78" s="273" t="s">
        <v>66</v>
      </c>
      <c r="G78" s="273" t="s">
        <v>3355</v>
      </c>
      <c r="H78" s="273" t="s">
        <v>3356</v>
      </c>
      <c r="I78" s="295"/>
      <c r="J78" s="295">
        <v>134</v>
      </c>
      <c r="K78" s="668">
        <v>500</v>
      </c>
      <c r="L78" s="668">
        <v>100</v>
      </c>
      <c r="M78" s="668">
        <v>0</v>
      </c>
      <c r="N78" s="668">
        <v>25</v>
      </c>
      <c r="O78" s="283">
        <v>0.02</v>
      </c>
      <c r="P78" s="62">
        <v>0.75</v>
      </c>
      <c r="Q78" s="62">
        <v>0.88</v>
      </c>
      <c r="R78" s="62">
        <v>1</v>
      </c>
      <c r="S78" s="282">
        <f t="shared" ref="S78" si="6">Q78*P78*R78</f>
        <v>0.66</v>
      </c>
    </row>
  </sheetData>
  <sheetProtection sheet="1" objects="1" scenarios="1"/>
  <mergeCells count="4">
    <mergeCell ref="B6:G6"/>
    <mergeCell ref="B24:C26"/>
    <mergeCell ref="E14:G14"/>
    <mergeCell ref="B14:C15"/>
  </mergeCells>
  <conditionalFormatting sqref="C38:H74">
    <cfRule type="expression" dxfId="46" priority="2498" stopIfTrue="1">
      <formula>$B38="x"</formula>
    </cfRule>
  </conditionalFormatting>
  <conditionalFormatting sqref="K39:K74">
    <cfRule type="expression" dxfId="45" priority="1249" stopIfTrue="1">
      <formula>K39&lt;&gt;IF(F39="LED",LEDcost,IF(F39="HPS",HPScost,MHcost))</formula>
    </cfRule>
  </conditionalFormatting>
  <conditionalFormatting sqref="L39:L74">
    <cfRule type="expression" dxfId="44" priority="1248" stopIfTrue="1">
      <formula>L39&lt;&gt;IF($F39="LED",LEDinstcost,IF(OR($F39="HPS",$F39="SAP",$F39="SHP"),HPSinstcost,MHinstcost))</formula>
    </cfRule>
  </conditionalFormatting>
  <conditionalFormatting sqref="N39:N41 N43:N74">
    <cfRule type="expression" dxfId="43" priority="1246" stopIfTrue="1">
      <formula>N39&lt;&gt;IF($F39="LED",LEDmaintcost,IF($F39="HPS",HPSmaintcost,MHmaintcost))</formula>
    </cfRule>
  </conditionalFormatting>
  <conditionalFormatting sqref="O39:O41 O43:O74">
    <cfRule type="expression" dxfId="42" priority="1245" stopIfTrue="1">
      <formula>O39&lt;&gt;IF($F39="LED",LEDmaintinflate,IF($F39="HPS",HPSmaintinflate,MHmaintinflate))</formula>
    </cfRule>
  </conditionalFormatting>
  <conditionalFormatting sqref="P39:P74">
    <cfRule type="expression" dxfId="41" priority="1244" stopIfTrue="1">
      <formula>P39&lt;&gt;IF($F39="LED",LEDLLD,IF($F39="HPS",HPSLLD,MHLLD))</formula>
    </cfRule>
  </conditionalFormatting>
  <conditionalFormatting sqref="Q39:Q74">
    <cfRule type="expression" dxfId="40" priority="1243" stopIfTrue="1">
      <formula>Q39&lt;&gt;IF($F39="LED",LEDDD,IF($F39="HPS",HPSDD,MHDD))</formula>
    </cfRule>
  </conditionalFormatting>
  <conditionalFormatting sqref="R39:R74">
    <cfRule type="expression" dxfId="39" priority="1242" stopIfTrue="1">
      <formula>R39&lt;&gt;IF($F39="LED",LEDBF,IF($F39="HPS",HPSBF,MHBF))</formula>
    </cfRule>
  </conditionalFormatting>
  <conditionalFormatting sqref="N42">
    <cfRule type="expression" dxfId="38" priority="440" stopIfTrue="1">
      <formula>N42&lt;&gt;IF($F42="LED",LEDmaintcost,IF($F42="HPS",HPSmaintcost,MHmaintcost))</formula>
    </cfRule>
  </conditionalFormatting>
  <conditionalFormatting sqref="O42">
    <cfRule type="expression" dxfId="37" priority="439" stopIfTrue="1">
      <formula>O42&lt;&gt;IF($F42="LED",LEDmaintinflate,IF($F42="HPS",HPSmaintinflate,MHmaintinflate))</formula>
    </cfRule>
  </conditionalFormatting>
  <conditionalFormatting sqref="C75:H75">
    <cfRule type="expression" dxfId="36" priority="32" stopIfTrue="1">
      <formula>$B75="x"</formula>
    </cfRule>
  </conditionalFormatting>
  <conditionalFormatting sqref="K75">
    <cfRule type="expression" dxfId="35" priority="31" stopIfTrue="1">
      <formula>K75&lt;&gt;IF(F75="LED",LEDcost,IF(F75="HPS",HPScost,MHcost))</formula>
    </cfRule>
  </conditionalFormatting>
  <conditionalFormatting sqref="L75">
    <cfRule type="expression" dxfId="34" priority="30" stopIfTrue="1">
      <formula>L75&lt;&gt;IF($F75="LED",LEDinstcost,IF(OR($F75="HPS",$F75="SAP",$F75="SHP"),HPSinstcost,MHinstcost))</formula>
    </cfRule>
  </conditionalFormatting>
  <conditionalFormatting sqref="N75">
    <cfRule type="expression" dxfId="33" priority="29" stopIfTrue="1">
      <formula>N75&lt;&gt;IF($F75="LED",LEDmaintcost,IF($F75="HPS",HPSmaintcost,MHmaintcost))</formula>
    </cfRule>
  </conditionalFormatting>
  <conditionalFormatting sqref="O75">
    <cfRule type="expression" dxfId="32" priority="28" stopIfTrue="1">
      <formula>O75&lt;&gt;IF($F75="LED",LEDmaintinflate,IF($F75="HPS",HPSmaintinflate,MHmaintinflate))</formula>
    </cfRule>
  </conditionalFormatting>
  <conditionalFormatting sqref="P75">
    <cfRule type="expression" dxfId="31" priority="27" stopIfTrue="1">
      <formula>P75&lt;&gt;IF($F75="LED",LEDLLD,IF($F75="HPS",HPSLLD,MHLLD))</formula>
    </cfRule>
  </conditionalFormatting>
  <conditionalFormatting sqref="Q75">
    <cfRule type="expression" dxfId="30" priority="26" stopIfTrue="1">
      <formula>Q75&lt;&gt;IF($F75="LED",LEDDD,IF($F75="HPS",HPSDD,MHDD))</formula>
    </cfRule>
  </conditionalFormatting>
  <conditionalFormatting sqref="R75">
    <cfRule type="expression" dxfId="29" priority="25" stopIfTrue="1">
      <formula>R75&lt;&gt;IF($F75="LED",LEDBF,IF($F75="HPS",HPSBF,MHBF))</formula>
    </cfRule>
  </conditionalFormatting>
  <conditionalFormatting sqref="C76:H76">
    <cfRule type="expression" dxfId="28" priority="24" stopIfTrue="1">
      <formula>$B76="x"</formula>
    </cfRule>
  </conditionalFormatting>
  <conditionalFormatting sqref="K76">
    <cfRule type="expression" dxfId="27" priority="23" stopIfTrue="1">
      <formula>K76&lt;&gt;IF(F76="LED",LEDcost,IF(F76="HPS",HPScost,MHcost))</formula>
    </cfRule>
  </conditionalFormatting>
  <conditionalFormatting sqref="L76">
    <cfRule type="expression" dxfId="26" priority="22" stopIfTrue="1">
      <formula>L76&lt;&gt;IF($F76="LED",LEDinstcost,IF(OR($F76="HPS",$F76="SAP",$F76="SHP"),HPSinstcost,MHinstcost))</formula>
    </cfRule>
  </conditionalFormatting>
  <conditionalFormatting sqref="N76">
    <cfRule type="expression" dxfId="25" priority="21" stopIfTrue="1">
      <formula>N76&lt;&gt;IF($F76="LED",LEDmaintcost,IF($F76="HPS",HPSmaintcost,MHmaintcost))</formula>
    </cfRule>
  </conditionalFormatting>
  <conditionalFormatting sqref="O76">
    <cfRule type="expression" dxfId="24" priority="20" stopIfTrue="1">
      <formula>O76&lt;&gt;IF($F76="LED",LEDmaintinflate,IF($F76="HPS",HPSmaintinflate,MHmaintinflate))</formula>
    </cfRule>
  </conditionalFormatting>
  <conditionalFormatting sqref="P76">
    <cfRule type="expression" dxfId="23" priority="19" stopIfTrue="1">
      <formula>P76&lt;&gt;IF($F76="LED",LEDLLD,IF($F76="HPS",HPSLLD,MHLLD))</formula>
    </cfRule>
  </conditionalFormatting>
  <conditionalFormatting sqref="Q76">
    <cfRule type="expression" dxfId="22" priority="18" stopIfTrue="1">
      <formula>Q76&lt;&gt;IF($F76="LED",LEDDD,IF($F76="HPS",HPSDD,MHDD))</formula>
    </cfRule>
  </conditionalFormatting>
  <conditionalFormatting sqref="R76">
    <cfRule type="expression" dxfId="21" priority="17" stopIfTrue="1">
      <formula>R76&lt;&gt;IF($F76="LED",LEDBF,IF($F76="HPS",HPSBF,MHBF))</formula>
    </cfRule>
  </conditionalFormatting>
  <conditionalFormatting sqref="C77:H77">
    <cfRule type="expression" dxfId="20" priority="16" stopIfTrue="1">
      <formula>$B77="x"</formula>
    </cfRule>
  </conditionalFormatting>
  <conditionalFormatting sqref="K77">
    <cfRule type="expression" dxfId="19" priority="15" stopIfTrue="1">
      <formula>K77&lt;&gt;IF(F77="LED",LEDcost,IF(F77="HPS",HPScost,MHcost))</formula>
    </cfRule>
  </conditionalFormatting>
  <conditionalFormatting sqref="L77">
    <cfRule type="expression" dxfId="18" priority="14" stopIfTrue="1">
      <formula>L77&lt;&gt;IF($F77="LED",LEDinstcost,IF(OR($F77="HPS",$F77="SAP",$F77="SHP"),HPSinstcost,MHinstcost))</formula>
    </cfRule>
  </conditionalFormatting>
  <conditionalFormatting sqref="N77">
    <cfRule type="expression" dxfId="17" priority="13" stopIfTrue="1">
      <formula>N77&lt;&gt;IF($F77="LED",LEDmaintcost,IF($F77="HPS",HPSmaintcost,MHmaintcost))</formula>
    </cfRule>
  </conditionalFormatting>
  <conditionalFormatting sqref="O77">
    <cfRule type="expression" dxfId="16" priority="12" stopIfTrue="1">
      <formula>O77&lt;&gt;IF($F77="LED",LEDmaintinflate,IF($F77="HPS",HPSmaintinflate,MHmaintinflate))</formula>
    </cfRule>
  </conditionalFormatting>
  <conditionalFormatting sqref="P77">
    <cfRule type="expression" dxfId="15" priority="11" stopIfTrue="1">
      <formula>P77&lt;&gt;IF($F77="LED",LEDLLD,IF($F77="HPS",HPSLLD,MHLLD))</formula>
    </cfRule>
  </conditionalFormatting>
  <conditionalFormatting sqref="Q77">
    <cfRule type="expression" dxfId="14" priority="10" stopIfTrue="1">
      <formula>Q77&lt;&gt;IF($F77="LED",LEDDD,IF($F77="HPS",HPSDD,MHDD))</formula>
    </cfRule>
  </conditionalFormatting>
  <conditionalFormatting sqref="R77">
    <cfRule type="expression" dxfId="13" priority="9" stopIfTrue="1">
      <formula>R77&lt;&gt;IF($F77="LED",LEDBF,IF($F77="HPS",HPSBF,MHBF))</formula>
    </cfRule>
  </conditionalFormatting>
  <conditionalFormatting sqref="C78:H78">
    <cfRule type="expression" dxfId="12" priority="8" stopIfTrue="1">
      <formula>$B78="x"</formula>
    </cfRule>
  </conditionalFormatting>
  <conditionalFormatting sqref="K78">
    <cfRule type="expression" dxfId="11" priority="7" stopIfTrue="1">
      <formula>K78&lt;&gt;IF(F78="LED",LEDcost,IF(F78="HPS",HPScost,MHcost))</formula>
    </cfRule>
  </conditionalFormatting>
  <conditionalFormatting sqref="L78">
    <cfRule type="expression" dxfId="10" priority="6" stopIfTrue="1">
      <formula>L78&lt;&gt;IF($F78="LED",LEDinstcost,IF(OR($F78="HPS",$F78="SAP",$F78="SHP"),HPSinstcost,MHinstcost))</formula>
    </cfRule>
  </conditionalFormatting>
  <conditionalFormatting sqref="N78">
    <cfRule type="expression" dxfId="9" priority="5" stopIfTrue="1">
      <formula>N78&lt;&gt;IF($F78="LED",LEDmaintcost,IF($F78="HPS",HPSmaintcost,MHmaintcost))</formula>
    </cfRule>
  </conditionalFormatting>
  <conditionalFormatting sqref="O78">
    <cfRule type="expression" dxfId="8" priority="4" stopIfTrue="1">
      <formula>O78&lt;&gt;IF($F78="LED",LEDmaintinflate,IF($F78="HPS",HPSmaintinflate,MHmaintinflate))</formula>
    </cfRule>
  </conditionalFormatting>
  <conditionalFormatting sqref="P78">
    <cfRule type="expression" dxfId="7" priority="3" stopIfTrue="1">
      <formula>P78&lt;&gt;IF($F78="LED",LEDLLD,IF($F78="HPS",HPSLLD,MHLLD))</formula>
    </cfRule>
  </conditionalFormatting>
  <conditionalFormatting sqref="Q78">
    <cfRule type="expression" dxfId="6" priority="2" stopIfTrue="1">
      <formula>Q78&lt;&gt;IF($F78="LED",LEDDD,IF($F78="HPS",HPSDD,MHDD))</formula>
    </cfRule>
  </conditionalFormatting>
  <conditionalFormatting sqref="R78">
    <cfRule type="expression" dxfId="5" priority="1" stopIfTrue="1">
      <formula>R78&lt;&gt;IF($F78="LED",LEDBF,IF($F78="HPS",HPSBF,MHBF))</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7" workbookViewId="0">
      <selection activeCell="C12" sqref="C12"/>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v1.7.6a</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19"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19"/>
      <c r="D7" s="719"/>
      <c r="E7" s="719"/>
      <c r="F7" s="719"/>
      <c r="G7" s="719"/>
      <c r="H7" s="719"/>
    </row>
    <row r="8" spans="1:256" ht="48" customHeight="1">
      <c r="B8" s="182" t="str">
        <f>Translation!B115</f>
        <v>Operating hours</v>
      </c>
      <c r="C8" s="542">
        <v>4380</v>
      </c>
      <c r="D8" s="223" t="str">
        <f>Translation!B108</f>
        <v>Default 4380 assumes 12 hours per day</v>
      </c>
    </row>
    <row r="9" spans="1:256">
      <c r="B9" s="182" t="str">
        <f>Translation!B109</f>
        <v>Energy Cost ($/kWh)</v>
      </c>
      <c r="C9" s="670">
        <v>0.1</v>
      </c>
      <c r="D9" s="279" t="s">
        <v>217</v>
      </c>
    </row>
    <row r="10" spans="1:256">
      <c r="B10" s="343" t="str">
        <f>Translation!B371</f>
        <v>Energy Inflation Rate (%/year)</v>
      </c>
      <c r="C10" s="392">
        <v>0.02</v>
      </c>
      <c r="D10" s="279" t="s">
        <v>217</v>
      </c>
    </row>
    <row r="11" spans="1:256">
      <c r="B11" s="182" t="str">
        <f>Translation!B258</f>
        <v>Discount Rate</v>
      </c>
      <c r="C11" s="399">
        <v>0.03</v>
      </c>
      <c r="D11" s="279" t="s">
        <v>217</v>
      </c>
    </row>
    <row r="12" spans="1:256">
      <c r="C12" s="631"/>
    </row>
    <row r="13" spans="1:256" s="558" customFormat="1" ht="28.5">
      <c r="B13" s="559" t="str">
        <f>Translation!B567</f>
        <v>Fixture Costs</v>
      </c>
    </row>
    <row r="14" spans="1:256" s="558" customFormat="1" ht="42.75" customHeight="1">
      <c r="B14" s="906"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06"/>
      <c r="D14" s="906"/>
      <c r="E14" s="906"/>
      <c r="F14" s="906"/>
      <c r="G14" s="906"/>
      <c r="H14" s="906"/>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ATB2_40B_LED_E70_XXXXX_R2.ies</v>
      </c>
      <c r="C17" s="588">
        <f ca="1">FixtureData!G18</f>
        <v>91</v>
      </c>
      <c r="D17" s="671">
        <f>FixtureData!K18</f>
        <v>0</v>
      </c>
      <c r="E17" s="671">
        <f>FixtureData!L18</f>
        <v>0</v>
      </c>
      <c r="F17" s="671">
        <f>FixtureData!M18</f>
        <v>0</v>
      </c>
      <c r="G17" s="671">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ATB2_40B_LED_E70_XXXXX_R2.ies</v>
      </c>
      <c r="C18" s="591">
        <f t="array" aca="1" ref="C18" ca="1">IFERROR(
 INDEX(FixtureWatts,
  SMALL(
   IF(
    FixtureInclude="x",
    ROW(FixtureWatts)-ROW(Fixtures!$B$36)
   ),
   ROWS(C$17:C17)
  )
 ),"")</f>
        <v>91</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mergeCells count="2">
    <mergeCell ref="B14:H14"/>
    <mergeCell ref="B7:H7"/>
  </mergeCells>
  <conditionalFormatting sqref="B18:H142">
    <cfRule type="cellIs" dxfId="4" priority="2" stopIfTrue="1" operator="notEqual">
      <formula>""</formula>
    </cfRule>
  </conditionalFormatting>
  <conditionalFormatting sqref="A18:A142">
    <cfRule type="expression" dxfId="3"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A14" sqref="A14"/>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v1.7.6a</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06" t="str">
        <f>Translation!$B$544</f>
        <v>Review the inputs below to make sure you have entered all necessary values and the assumptions accurately reflect your road and fixtures.</v>
      </c>
      <c r="C7" s="906"/>
      <c r="D7" s="906"/>
      <c r="E7" s="906"/>
      <c r="F7" s="906"/>
      <c r="G7" s="906"/>
      <c r="H7" s="906"/>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ü</v>
      </c>
      <c r="B11" s="558" t="str">
        <f>IF($A11="x",Translation!$B538,Translation!$B537)</f>
        <v>You have entered all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1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4</v>
      </c>
      <c r="D22" s="566">
        <f>'Road Geometry'!D10</f>
        <v>4</v>
      </c>
      <c r="E22" s="566"/>
      <c r="F22" s="566"/>
      <c r="G22" s="566"/>
      <c r="H22" s="566"/>
    </row>
    <row r="23" spans="1:112">
      <c r="B23" s="565" t="str">
        <f>'Road Geometry'!B11</f>
        <v>Lane Width</v>
      </c>
      <c r="C23" s="566">
        <f>'Road Geometry'!C11</f>
        <v>4</v>
      </c>
      <c r="D23" s="566">
        <f>'Road Geometry'!D11</f>
        <v>4</v>
      </c>
      <c r="E23" s="566"/>
      <c r="F23" s="566"/>
      <c r="G23" s="566"/>
      <c r="H23" s="566"/>
    </row>
    <row r="24" spans="1:112">
      <c r="B24" s="565" t="str">
        <f>'Road Geometry'!B12</f>
        <v>Median Width</v>
      </c>
      <c r="C24" s="566">
        <f>'Road Geometry'!C12</f>
        <v>1</v>
      </c>
      <c r="D24" s="566">
        <f>'Road Geometry'!D12</f>
        <v>1</v>
      </c>
      <c r="E24" s="566"/>
      <c r="F24" s="566"/>
      <c r="G24" s="566"/>
      <c r="H24" s="566"/>
    </row>
    <row r="25" spans="1:112">
      <c r="B25" s="565" t="str">
        <f>'Road Geometry'!B16</f>
        <v>Pole Placement</v>
      </c>
      <c r="C25" s="566" t="str">
        <f>'Road Geometry'!C16</f>
        <v>Opposite</v>
      </c>
      <c r="D25" s="566" t="str">
        <f>'Road Geometry'!D16</f>
        <v>Opposite</v>
      </c>
      <c r="E25" s="566"/>
      <c r="F25" s="566"/>
      <c r="G25" s="566"/>
      <c r="H25" s="566"/>
    </row>
    <row r="26" spans="1:112">
      <c r="B26" s="565" t="str">
        <f>'Road Geometry'!B17</f>
        <v>Luminaire Mounting Height</v>
      </c>
      <c r="C26" s="566">
        <f>'Road Geometry'!C17</f>
        <v>10</v>
      </c>
      <c r="D26" s="566">
        <f>'Road Geometry'!D17</f>
        <v>10</v>
      </c>
      <c r="E26" s="566"/>
      <c r="F26" s="566"/>
      <c r="G26" s="566"/>
      <c r="H26" s="566"/>
    </row>
    <row r="27" spans="1:112">
      <c r="B27" s="565" t="str">
        <f>'Road Geometry'!B18</f>
        <v>Pole Spacing</v>
      </c>
      <c r="C27" s="566">
        <f>'Road Geometry'!C18</f>
        <v>35</v>
      </c>
      <c r="D27" s="566">
        <f>'Road Geometry'!D18</f>
        <v>35</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5.5</v>
      </c>
      <c r="D29" s="566">
        <f>'Road Geometry'!D20</f>
        <v>5.5</v>
      </c>
      <c r="E29" s="566"/>
      <c r="F29" s="566"/>
      <c r="G29" s="566"/>
      <c r="H29" s="566"/>
    </row>
    <row r="30" spans="1:112" s="570" customFormat="1">
      <c r="A30" s="567"/>
      <c r="B30" s="568" t="str">
        <f>'Road Geometry'!B24</f>
        <v>Road Surface Type</v>
      </c>
      <c r="C30" s="569" t="str">
        <f>'Road Geometry'!C24</f>
        <v>R3</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6</v>
      </c>
      <c r="D36" s="573">
        <f t="shared" si="0"/>
        <v>6</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0.6</v>
      </c>
      <c r="D38" s="573">
        <f t="shared" si="0"/>
        <v>0.6</v>
      </c>
      <c r="E38" s="566"/>
      <c r="F38" s="566"/>
      <c r="G38" s="566"/>
      <c r="H38" s="566"/>
    </row>
    <row r="39" spans="1:112">
      <c r="B39" s="565" t="str">
        <f>'Lighting Standards'!C20</f>
        <v>Uniformity Ratio (Lavg/Lmin)</v>
      </c>
      <c r="C39" s="575">
        <f>'Lighting Standards'!D20</f>
        <v>3</v>
      </c>
      <c r="D39" s="573">
        <f t="shared" si="0"/>
        <v>3</v>
      </c>
      <c r="E39" s="566"/>
      <c r="F39" s="566"/>
      <c r="G39" s="566"/>
      <c r="H39" s="566"/>
    </row>
    <row r="40" spans="1:112">
      <c r="B40" s="565" t="str">
        <f>'Lighting Standards'!C21</f>
        <v>Uniformity Ratio (Lmax/Lmin)</v>
      </c>
      <c r="C40" s="575">
        <f>'Lighting Standards'!D21</f>
        <v>6</v>
      </c>
      <c r="D40" s="573">
        <f t="shared" si="0"/>
        <v>6</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0.1</v>
      </c>
      <c r="D51" s="566">
        <f>C51</f>
        <v>0.1</v>
      </c>
      <c r="E51" s="566"/>
      <c r="F51" s="566"/>
      <c r="G51" s="566"/>
      <c r="H51" s="566"/>
    </row>
    <row r="52" spans="1:112">
      <c r="B52" s="565" t="str">
        <f>Costs!B10</f>
        <v>Energy Inflation Rate (%/year)</v>
      </c>
      <c r="C52" s="566">
        <f>Costs!C10</f>
        <v>0.02</v>
      </c>
      <c r="D52" s="566">
        <f>C52</f>
        <v>0.02</v>
      </c>
      <c r="E52" s="566"/>
      <c r="F52" s="566"/>
      <c r="G52" s="566"/>
      <c r="H52" s="566"/>
    </row>
    <row r="53" spans="1:112" s="570" customFormat="1">
      <c r="A53" s="567"/>
      <c r="B53" s="568" t="str">
        <f>Costs!B11</f>
        <v>Discount Rate</v>
      </c>
      <c r="C53" s="569">
        <f>Costs!C11</f>
        <v>0.03</v>
      </c>
      <c r="D53" s="569">
        <f>C53</f>
        <v>0.03</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ATB2_40B_LED_E70_XXXXX_R2.ies</v>
      </c>
      <c r="D56" s="566" t="str">
        <f t="array" aca="1" ref="D56" ca="1">IFERROR(
 INDEX(FixtureNames,
  SMALL(
   IF(
    FixtureInclude="x",
    ROW(FixtureNames)-ROW(Fixtures!$B$36)
   ),
   COLUMNS($D56:D56)
  )
 ),"")</f>
        <v>ATB2_40B_LED_E70_XXXXX_R2.ies</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Fixtures!F19</f>
        <v>ATB2 40B LED E70 XXXXX R2</v>
      </c>
      <c r="D59" s="566" t="str">
        <f t="array" aca="1" ref="D59" ca="1">IFERROR(
 INDEX(FixtureModel,
  SMALL(
   IF(
    FixtureInclude="x",
    ROW(FixtureModel)-ROW(Fixtures!$B$36)
   ),
   COLUMNS($D59:D59)
  )
 ),"")</f>
        <v>ATB2 40B LED E70 XXXXX R2</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Fixtures!F20</f>
        <v>TYPE III, MEDIUM, BUG RATING: B2 - U0 - G3</v>
      </c>
      <c r="D60" s="566" t="str">
        <f t="array" aca="1" ref="D60" ca="1">IFERROR(
 INDEX(FixtureDist,
  SMALL(
   IF(
    FixtureInclude="x",
    ROW(FixtureDist)-ROW(Fixtures!$B$36)
   ),
   COLUMNS($D60:D60)
  )
 ),"")</f>
        <v>TYPE III, MEDIUM, BUG RATING: B2 - U0 - G3</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Fixtures!F21</f>
        <v/>
      </c>
      <c r="D61" s="566">
        <f t="array" aca="1" ref="D61" ca="1">IFERROR(
 INDEX(FixtureComments,
  SMALL(
   IF(
    FixtureInclude="x",
    ROW(FixtureComments)-ROW(Fixtures!$B$36)
   ),
   COLUMNS($D61:D61)
  )
 ),"")</f>
        <v>0</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91</v>
      </c>
      <c r="D62" s="566">
        <f t="array" aca="1" ref="D62" ca="1">IFERROR(
 INDEX(FixtureWatts,
  SMALL(
   IF(
    FixtureInclude="x",
    ROW(FixtureWatts)-ROW(Fixtures!$B$36)
   ),
   COLUMNS($D62:D62)
  )
 ),"")</f>
        <v>91</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2">
        <f>Fixtures!F23</f>
        <v>0</v>
      </c>
      <c r="D63" s="672">
        <f t="array" aca="1" ref="D63" ca="1">IFERROR(
 INDEX(FixtureEqCosts,
  SMALL(
   IF(
    FixtureInclude="x",
    ROW(FixtureEqCosts)-ROW(Fixtures!$B$36)
   ),
   COLUMNS($D63:D63)
  )
 ),"")</f>
        <v>500</v>
      </c>
      <c r="E63" s="672" t="str">
        <f t="array" aca="1" ref="E63" ca="1">IFERROR(
 INDEX(FixtureEqCosts,
  SMALL(
   IF(
    FixtureInclude="x",
    ROW(FixtureEqCosts)-ROW(Fixtures!$B$36)
   ),
   COLUMNS($D63:E63)
  )
 ),"")</f>
        <v/>
      </c>
      <c r="F63" s="672" t="str">
        <f t="array" aca="1" ref="F63" ca="1">IFERROR(
 INDEX(FixtureEqCosts,
  SMALL(
   IF(
    FixtureInclude="x",
    ROW(FixtureEqCosts)-ROW(Fixtures!$B$36)
   ),
   COLUMNS($D63:F63)
  )
 ),"")</f>
        <v/>
      </c>
      <c r="G63" s="672" t="str">
        <f t="array" aca="1" ref="G63" ca="1">IFERROR(
 INDEX(FixtureEqCosts,
  SMALL(
   IF(
    FixtureInclude="x",
    ROW(FixtureEqCosts)-ROW(Fixtures!$B$36)
   ),
   COLUMNS($D63:G63)
  )
 ),"")</f>
        <v/>
      </c>
      <c r="H63" s="672" t="str">
        <f t="array" aca="1" ref="H63" ca="1">IFERROR(
 INDEX(FixtureEqCosts,
  SMALL(
   IF(
    FixtureInclude="x",
    ROW(FixtureEqCosts)-ROW(Fixtures!$B$36)
   ),
   COLUMNS($D63:H63)
  )
 ),"")</f>
        <v/>
      </c>
      <c r="I63" s="672" t="str">
        <f t="array" aca="1" ref="I63" ca="1">IFERROR(
 INDEX(FixtureEqCosts,
  SMALL(
   IF(
    FixtureInclude="x",
    ROW(FixtureEqCosts)-ROW(Fixtures!$B$36)
   ),
   COLUMNS($D63:I63)
  )
 ),"")</f>
        <v/>
      </c>
      <c r="J63" s="672" t="str">
        <f t="array" aca="1" ref="J63" ca="1">IFERROR(
 INDEX(FixtureEqCosts,
  SMALL(
   IF(
    FixtureInclude="x",
    ROW(FixtureEqCosts)-ROW(Fixtures!$B$36)
   ),
   COLUMNS($D63:J63)
  )
 ),"")</f>
        <v/>
      </c>
      <c r="K63" s="672" t="str">
        <f t="array" aca="1" ref="K63" ca="1">IFERROR(
 INDEX(FixtureEqCosts,
  SMALL(
   IF(
    FixtureInclude="x",
    ROW(FixtureEqCosts)-ROW(Fixtures!$B$36)
   ),
   COLUMNS($D63:K63)
  )
 ),"")</f>
        <v/>
      </c>
      <c r="L63" s="672" t="str">
        <f t="array" aca="1" ref="L63" ca="1">IFERROR(
 INDEX(FixtureEqCosts,
  SMALL(
   IF(
    FixtureInclude="x",
    ROW(FixtureEqCosts)-ROW(Fixtures!$B$36)
   ),
   COLUMNS($D63:L63)
  )
 ),"")</f>
        <v/>
      </c>
      <c r="M63" s="672" t="str">
        <f t="array" aca="1" ref="M63" ca="1">IFERROR(
 INDEX(FixtureEqCosts,
  SMALL(
   IF(
    FixtureInclude="x",
    ROW(FixtureEqCosts)-ROW(Fixtures!$B$36)
   ),
   COLUMNS($D63:M63)
  )
 ),"")</f>
        <v/>
      </c>
      <c r="N63" s="672" t="str">
        <f t="array" aca="1" ref="N63" ca="1">IFERROR(
 INDEX(FixtureEqCosts,
  SMALL(
   IF(
    FixtureInclude="x",
    ROW(FixtureEqCosts)-ROW(Fixtures!$B$36)
   ),
   COLUMNS($D63:N63)
  )
 ),"")</f>
        <v/>
      </c>
      <c r="O63" s="672" t="str">
        <f t="array" aca="1" ref="O63" ca="1">IFERROR(
 INDEX(FixtureEqCosts,
  SMALL(
   IF(
    FixtureInclude="x",
    ROW(FixtureEqCosts)-ROW(Fixtures!$B$36)
   ),
   COLUMNS($D63:O63)
  )
 ),"")</f>
        <v/>
      </c>
      <c r="P63" s="672" t="str">
        <f t="array" aca="1" ref="P63" ca="1">IFERROR(
 INDEX(FixtureEqCosts,
  SMALL(
   IF(
    FixtureInclude="x",
    ROW(FixtureEqCosts)-ROW(Fixtures!$B$36)
   ),
   COLUMNS($D63:P63)
  )
 ),"")</f>
        <v/>
      </c>
      <c r="Q63" s="672" t="str">
        <f t="array" aca="1" ref="Q63" ca="1">IFERROR(
 INDEX(FixtureEqCosts,
  SMALL(
   IF(
    FixtureInclude="x",
    ROW(FixtureEqCosts)-ROW(Fixtures!$B$36)
   ),
   COLUMNS($D63:Q63)
  )
 ),"")</f>
        <v/>
      </c>
      <c r="R63" s="672" t="str">
        <f t="array" aca="1" ref="R63" ca="1">IFERROR(
 INDEX(FixtureEqCosts,
  SMALL(
   IF(
    FixtureInclude="x",
    ROW(FixtureEqCosts)-ROW(Fixtures!$B$36)
   ),
   COLUMNS($D63:R63)
  )
 ),"")</f>
        <v/>
      </c>
      <c r="S63" s="672" t="str">
        <f t="array" aca="1" ref="S63" ca="1">IFERROR(
 INDEX(FixtureEqCosts,
  SMALL(
   IF(
    FixtureInclude="x",
    ROW(FixtureEqCosts)-ROW(Fixtures!$B$36)
   ),
   COLUMNS($D63:S63)
  )
 ),"")</f>
        <v/>
      </c>
      <c r="T63" s="672" t="str">
        <f t="array" aca="1" ref="T63" ca="1">IFERROR(
 INDEX(FixtureEqCosts,
  SMALL(
   IF(
    FixtureInclude="x",
    ROW(FixtureEqCosts)-ROW(Fixtures!$B$36)
   ),
   COLUMNS($D63:T63)
  )
 ),"")</f>
        <v/>
      </c>
      <c r="U63" s="672" t="str">
        <f t="array" aca="1" ref="U63" ca="1">IFERROR(
 INDEX(FixtureEqCosts,
  SMALL(
   IF(
    FixtureInclude="x",
    ROW(FixtureEqCosts)-ROW(Fixtures!$B$36)
   ),
   COLUMNS($D63:U63)
  )
 ),"")</f>
        <v/>
      </c>
      <c r="V63" s="672" t="str">
        <f t="array" aca="1" ref="V63" ca="1">IFERROR(
 INDEX(FixtureEqCosts,
  SMALL(
   IF(
    FixtureInclude="x",
    ROW(FixtureEqCosts)-ROW(Fixtures!$B$36)
   ),
   COLUMNS($D63:V63)
  )
 ),"")</f>
        <v/>
      </c>
      <c r="W63" s="672" t="str">
        <f t="array" aca="1" ref="W63" ca="1">IFERROR(
 INDEX(FixtureEqCosts,
  SMALL(
   IF(
    FixtureInclude="x",
    ROW(FixtureEqCosts)-ROW(Fixtures!$B$36)
   ),
   COLUMNS($D63:W63)
  )
 ),"")</f>
        <v/>
      </c>
      <c r="X63" s="672" t="str">
        <f t="array" aca="1" ref="X63" ca="1">IFERROR(
 INDEX(FixtureEqCosts,
  SMALL(
   IF(
    FixtureInclude="x",
    ROW(FixtureEqCosts)-ROW(Fixtures!$B$36)
   ),
   COLUMNS($D63:X63)
  )
 ),"")</f>
        <v/>
      </c>
      <c r="Y63" s="672" t="str">
        <f t="array" aca="1" ref="Y63" ca="1">IFERROR(
 INDEX(FixtureEqCosts,
  SMALL(
   IF(
    FixtureInclude="x",
    ROW(FixtureEqCosts)-ROW(Fixtures!$B$36)
   ),
   COLUMNS($D63:Y63)
  )
 ),"")</f>
        <v/>
      </c>
      <c r="Z63" s="672" t="str">
        <f t="array" aca="1" ref="Z63" ca="1">IFERROR(
 INDEX(FixtureEqCosts,
  SMALL(
   IF(
    FixtureInclude="x",
    ROW(FixtureEqCosts)-ROW(Fixtures!$B$36)
   ),
   COLUMNS($D63:Z63)
  )
 ),"")</f>
        <v/>
      </c>
      <c r="AA63" s="672" t="str">
        <f t="array" aca="1" ref="AA63" ca="1">IFERROR(
 INDEX(FixtureEqCosts,
  SMALL(
   IF(
    FixtureInclude="x",
    ROW(FixtureEqCosts)-ROW(Fixtures!$B$36)
   ),
   COLUMNS($D63:AA63)
  )
 ),"")</f>
        <v/>
      </c>
      <c r="AB63" s="672" t="str">
        <f t="array" aca="1" ref="AB63" ca="1">IFERROR(
 INDEX(FixtureEqCosts,
  SMALL(
   IF(
    FixtureInclude="x",
    ROW(FixtureEqCosts)-ROW(Fixtures!$B$36)
   ),
   COLUMNS($D63:AB63)
  )
 ),"")</f>
        <v/>
      </c>
      <c r="AC63" s="672" t="str">
        <f t="array" aca="1" ref="AC63" ca="1">IFERROR(
 INDEX(FixtureEqCosts,
  SMALL(
   IF(
    FixtureInclude="x",
    ROW(FixtureEqCosts)-ROW(Fixtures!$B$36)
   ),
   COLUMNS($D63:AC63)
  )
 ),"")</f>
        <v/>
      </c>
      <c r="AD63" s="672" t="str">
        <f t="array" aca="1" ref="AD63" ca="1">IFERROR(
 INDEX(FixtureEqCosts,
  SMALL(
   IF(
    FixtureInclude="x",
    ROW(FixtureEqCosts)-ROW(Fixtures!$B$36)
   ),
   COLUMNS($D63:AD63)
  )
 ),"")</f>
        <v/>
      </c>
      <c r="AE63" s="672" t="str">
        <f t="array" aca="1" ref="AE63" ca="1">IFERROR(
 INDEX(FixtureEqCosts,
  SMALL(
   IF(
    FixtureInclude="x",
    ROW(FixtureEqCosts)-ROW(Fixtures!$B$36)
   ),
   COLUMNS($D63:AE63)
  )
 ),"")</f>
        <v/>
      </c>
      <c r="AF63" s="672" t="str">
        <f t="array" aca="1" ref="AF63" ca="1">IFERROR(
 INDEX(FixtureEqCosts,
  SMALL(
   IF(
    FixtureInclude="x",
    ROW(FixtureEqCosts)-ROW(Fixtures!$B$36)
   ),
   COLUMNS($D63:AF63)
  )
 ),"")</f>
        <v/>
      </c>
      <c r="AG63" s="672" t="str">
        <f t="array" aca="1" ref="AG63" ca="1">IFERROR(
 INDEX(FixtureEqCosts,
  SMALL(
   IF(
    FixtureInclude="x",
    ROW(FixtureEqCosts)-ROW(Fixtures!$B$36)
   ),
   COLUMNS($D63:AG63)
  )
 ),"")</f>
        <v/>
      </c>
      <c r="AH63" s="672" t="str">
        <f t="array" aca="1" ref="AH63" ca="1">IFERROR(
 INDEX(FixtureEqCosts,
  SMALL(
   IF(
    FixtureInclude="x",
    ROW(FixtureEqCosts)-ROW(Fixtures!$B$36)
   ),
   COLUMNS($D63:AH63)
  )
 ),"")</f>
        <v/>
      </c>
      <c r="AI63" s="672" t="str">
        <f t="array" aca="1" ref="AI63" ca="1">IFERROR(
 INDEX(FixtureEqCosts,
  SMALL(
   IF(
    FixtureInclude="x",
    ROW(FixtureEqCosts)-ROW(Fixtures!$B$36)
   ),
   COLUMNS($D63:AI63)
  )
 ),"")</f>
        <v/>
      </c>
      <c r="AJ63" s="672" t="str">
        <f t="array" aca="1" ref="AJ63" ca="1">IFERROR(
 INDEX(FixtureEqCosts,
  SMALL(
   IF(
    FixtureInclude="x",
    ROW(FixtureEqCosts)-ROW(Fixtures!$B$36)
   ),
   COLUMNS($D63:AJ63)
  )
 ),"")</f>
        <v/>
      </c>
      <c r="AK63" s="672" t="str">
        <f t="array" aca="1" ref="AK63" ca="1">IFERROR(
 INDEX(FixtureEqCosts,
  SMALL(
   IF(
    FixtureInclude="x",
    ROW(FixtureEqCosts)-ROW(Fixtures!$B$36)
   ),
   COLUMNS($D63:AK63)
  )
 ),"")</f>
        <v/>
      </c>
      <c r="AL63" s="672" t="str">
        <f t="array" aca="1" ref="AL63" ca="1">IFERROR(
 INDEX(FixtureEqCosts,
  SMALL(
   IF(
    FixtureInclude="x",
    ROW(FixtureEqCosts)-ROW(Fixtures!$B$36)
   ),
   COLUMNS($D63:AL63)
  )
 ),"")</f>
        <v/>
      </c>
      <c r="AM63" s="672" t="str">
        <f t="array" aca="1" ref="AM63" ca="1">IFERROR(
 INDEX(FixtureEqCosts,
  SMALL(
   IF(
    FixtureInclude="x",
    ROW(FixtureEqCosts)-ROW(Fixtures!$B$36)
   ),
   COLUMNS($D63:AM63)
  )
 ),"")</f>
        <v/>
      </c>
      <c r="AN63" s="672" t="str">
        <f t="array" aca="1" ref="AN63" ca="1">IFERROR(
 INDEX(FixtureEqCosts,
  SMALL(
   IF(
    FixtureInclude="x",
    ROW(FixtureEqCosts)-ROW(Fixtures!$B$36)
   ),
   COLUMNS($D63:AN63)
  )
 ),"")</f>
        <v/>
      </c>
      <c r="AO63" s="672" t="str">
        <f t="array" aca="1" ref="AO63" ca="1">IFERROR(
 INDEX(FixtureEqCosts,
  SMALL(
   IF(
    FixtureInclude="x",
    ROW(FixtureEqCosts)-ROW(Fixtures!$B$36)
   ),
   COLUMNS($D63:AO63)
  )
 ),"")</f>
        <v/>
      </c>
      <c r="AP63" s="672" t="str">
        <f t="array" aca="1" ref="AP63" ca="1">IFERROR(
 INDEX(FixtureEqCosts,
  SMALL(
   IF(
    FixtureInclude="x",
    ROW(FixtureEqCosts)-ROW(Fixtures!$B$36)
   ),
   COLUMNS($D63:AP63)
  )
 ),"")</f>
        <v/>
      </c>
      <c r="AQ63" s="672" t="str">
        <f t="array" aca="1" ref="AQ63" ca="1">IFERROR(
 INDEX(FixtureEqCosts,
  SMALL(
   IF(
    FixtureInclude="x",
    ROW(FixtureEqCosts)-ROW(Fixtures!$B$36)
   ),
   COLUMNS($D63:AQ63)
  )
 ),"")</f>
        <v/>
      </c>
      <c r="AR63" s="672" t="str">
        <f t="array" aca="1" ref="AR63" ca="1">IFERROR(
 INDEX(FixtureEqCosts,
  SMALL(
   IF(
    FixtureInclude="x",
    ROW(FixtureEqCosts)-ROW(Fixtures!$B$36)
   ),
   COLUMNS($D63:AR63)
  )
 ),"")</f>
        <v/>
      </c>
      <c r="AS63" s="672" t="str">
        <f t="array" aca="1" ref="AS63" ca="1">IFERROR(
 INDEX(FixtureEqCosts,
  SMALL(
   IF(
    FixtureInclude="x",
    ROW(FixtureEqCosts)-ROW(Fixtures!$B$36)
   ),
   COLUMNS($D63:AS63)
  )
 ),"")</f>
        <v/>
      </c>
      <c r="AT63" s="672" t="str">
        <f t="array" aca="1" ref="AT63" ca="1">IFERROR(
 INDEX(FixtureEqCosts,
  SMALL(
   IF(
    FixtureInclude="x",
    ROW(FixtureEqCosts)-ROW(Fixtures!$B$36)
   ),
   COLUMNS($D63:AT63)
  )
 ),"")</f>
        <v/>
      </c>
      <c r="AU63" s="672" t="str">
        <f t="array" aca="1" ref="AU63" ca="1">IFERROR(
 INDEX(FixtureEqCosts,
  SMALL(
   IF(
    FixtureInclude="x",
    ROW(FixtureEqCosts)-ROW(Fixtures!$B$36)
   ),
   COLUMNS($D63:AU63)
  )
 ),"")</f>
        <v/>
      </c>
      <c r="AV63" s="672" t="str">
        <f t="array" aca="1" ref="AV63" ca="1">IFERROR(
 INDEX(FixtureEqCosts,
  SMALL(
   IF(
    FixtureInclude="x",
    ROW(FixtureEqCosts)-ROW(Fixtures!$B$36)
   ),
   COLUMNS($D63:AV63)
  )
 ),"")</f>
        <v/>
      </c>
      <c r="AW63" s="672" t="str">
        <f t="array" aca="1" ref="AW63" ca="1">IFERROR(
 INDEX(FixtureEqCosts,
  SMALL(
   IF(
    FixtureInclude="x",
    ROW(FixtureEqCosts)-ROW(Fixtures!$B$36)
   ),
   COLUMNS($D63:AW63)
  )
 ),"")</f>
        <v/>
      </c>
      <c r="AX63" s="672" t="str">
        <f t="array" aca="1" ref="AX63" ca="1">IFERROR(
 INDEX(FixtureEqCosts,
  SMALL(
   IF(
    FixtureInclude="x",
    ROW(FixtureEqCosts)-ROW(Fixtures!$B$36)
   ),
   COLUMNS($D63:AX63)
  )
 ),"")</f>
        <v/>
      </c>
      <c r="AY63" s="672" t="str">
        <f t="array" aca="1" ref="AY63" ca="1">IFERROR(
 INDEX(FixtureEqCosts,
  SMALL(
   IF(
    FixtureInclude="x",
    ROW(FixtureEqCosts)-ROW(Fixtures!$B$36)
   ),
   COLUMNS($D63:AY63)
  )
 ),"")</f>
        <v/>
      </c>
      <c r="AZ63" s="672" t="str">
        <f t="array" aca="1" ref="AZ63" ca="1">IFERROR(
 INDEX(FixtureEqCosts,
  SMALL(
   IF(
    FixtureInclude="x",
    ROW(FixtureEqCosts)-ROW(Fixtures!$B$36)
   ),
   COLUMNS($D63:AZ63)
  )
 ),"")</f>
        <v/>
      </c>
      <c r="BA63" s="672" t="str">
        <f t="array" aca="1" ref="BA63" ca="1">IFERROR(
 INDEX(FixtureEqCosts,
  SMALL(
   IF(
    FixtureInclude="x",
    ROW(FixtureEqCosts)-ROW(Fixtures!$B$36)
   ),
   COLUMNS($D63:BA63)
  )
 ),"")</f>
        <v/>
      </c>
      <c r="BB63" s="672" t="str">
        <f t="array" aca="1" ref="BB63" ca="1">IFERROR(
 INDEX(FixtureEqCosts,
  SMALL(
   IF(
    FixtureInclude="x",
    ROW(FixtureEqCosts)-ROW(Fixtures!$B$36)
   ),
   COLUMNS($D63:BB63)
  )
 ),"")</f>
        <v/>
      </c>
      <c r="BC63" s="672" t="str">
        <f t="array" aca="1" ref="BC63" ca="1">IFERROR(
 INDEX(FixtureEqCosts,
  SMALL(
   IF(
    FixtureInclude="x",
    ROW(FixtureEqCosts)-ROW(Fixtures!$B$36)
   ),
   COLUMNS($D63:BC63)
  )
 ),"")</f>
        <v/>
      </c>
      <c r="BD63" s="672" t="str">
        <f t="array" aca="1" ref="BD63" ca="1">IFERROR(
 INDEX(FixtureEqCosts,
  SMALL(
   IF(
    FixtureInclude="x",
    ROW(FixtureEqCosts)-ROW(Fixtures!$B$36)
   ),
   COLUMNS($D63:BD63)
  )
 ),"")</f>
        <v/>
      </c>
      <c r="BE63" s="672" t="str">
        <f t="array" aca="1" ref="BE63" ca="1">IFERROR(
 INDEX(FixtureEqCosts,
  SMALL(
   IF(
    FixtureInclude="x",
    ROW(FixtureEqCosts)-ROW(Fixtures!$B$36)
   ),
   COLUMNS($D63:BE63)
  )
 ),"")</f>
        <v/>
      </c>
      <c r="BF63" s="672" t="str">
        <f t="array" aca="1" ref="BF63" ca="1">IFERROR(
 INDEX(FixtureEqCosts,
  SMALL(
   IF(
    FixtureInclude="x",
    ROW(FixtureEqCosts)-ROW(Fixtures!$B$36)
   ),
   COLUMNS($D63:BF63)
  )
 ),"")</f>
        <v/>
      </c>
      <c r="BG63" s="672" t="str">
        <f t="array" aca="1" ref="BG63" ca="1">IFERROR(
 INDEX(FixtureEqCosts,
  SMALL(
   IF(
    FixtureInclude="x",
    ROW(FixtureEqCosts)-ROW(Fixtures!$B$36)
   ),
   COLUMNS($D63:BG63)
  )
 ),"")</f>
        <v/>
      </c>
      <c r="BH63" s="672" t="str">
        <f t="array" aca="1" ref="BH63" ca="1">IFERROR(
 INDEX(FixtureEqCosts,
  SMALL(
   IF(
    FixtureInclude="x",
    ROW(FixtureEqCosts)-ROW(Fixtures!$B$36)
   ),
   COLUMNS($D63:BH63)
  )
 ),"")</f>
        <v/>
      </c>
      <c r="BI63" s="672" t="str">
        <f t="array" aca="1" ref="BI63" ca="1">IFERROR(
 INDEX(FixtureEqCosts,
  SMALL(
   IF(
    FixtureInclude="x",
    ROW(FixtureEqCosts)-ROW(Fixtures!$B$36)
   ),
   COLUMNS($D63:BI63)
  )
 ),"")</f>
        <v/>
      </c>
      <c r="BJ63" s="672" t="str">
        <f t="array" aca="1" ref="BJ63" ca="1">IFERROR(
 INDEX(FixtureEqCosts,
  SMALL(
   IF(
    FixtureInclude="x",
    ROW(FixtureEqCosts)-ROW(Fixtures!$B$36)
   ),
   COLUMNS($D63:BJ63)
  )
 ),"")</f>
        <v/>
      </c>
      <c r="BK63" s="672" t="str">
        <f t="array" aca="1" ref="BK63" ca="1">IFERROR(
 INDEX(FixtureEqCosts,
  SMALL(
   IF(
    FixtureInclude="x",
    ROW(FixtureEqCosts)-ROW(Fixtures!$B$36)
   ),
   COLUMNS($D63:BK63)
  )
 ),"")</f>
        <v/>
      </c>
      <c r="BL63" s="672" t="str">
        <f t="array" aca="1" ref="BL63" ca="1">IFERROR(
 INDEX(FixtureEqCosts,
  SMALL(
   IF(
    FixtureInclude="x",
    ROW(FixtureEqCosts)-ROW(Fixtures!$B$36)
   ),
   COLUMNS($D63:BL63)
  )
 ),"")</f>
        <v/>
      </c>
      <c r="BM63" s="672" t="str">
        <f t="array" aca="1" ref="BM63" ca="1">IFERROR(
 INDEX(FixtureEqCosts,
  SMALL(
   IF(
    FixtureInclude="x",
    ROW(FixtureEqCosts)-ROW(Fixtures!$B$36)
   ),
   COLUMNS($D63:BM63)
  )
 ),"")</f>
        <v/>
      </c>
      <c r="BN63" s="672" t="str">
        <f t="array" aca="1" ref="BN63" ca="1">IFERROR(
 INDEX(FixtureEqCosts,
  SMALL(
   IF(
    FixtureInclude="x",
    ROW(FixtureEqCosts)-ROW(Fixtures!$B$36)
   ),
   COLUMNS($D63:BN63)
  )
 ),"")</f>
        <v/>
      </c>
      <c r="BO63" s="672" t="str">
        <f t="array" aca="1" ref="BO63" ca="1">IFERROR(
 INDEX(FixtureEqCosts,
  SMALL(
   IF(
    FixtureInclude="x",
    ROW(FixtureEqCosts)-ROW(Fixtures!$B$36)
   ),
   COLUMNS($D63:BO63)
  )
 ),"")</f>
        <v/>
      </c>
      <c r="BP63" s="672" t="str">
        <f t="array" aca="1" ref="BP63" ca="1">IFERROR(
 INDEX(FixtureEqCosts,
  SMALL(
   IF(
    FixtureInclude="x",
    ROW(FixtureEqCosts)-ROW(Fixtures!$B$36)
   ),
   COLUMNS($D63:BP63)
  )
 ),"")</f>
        <v/>
      </c>
      <c r="BQ63" s="672" t="str">
        <f t="array" aca="1" ref="BQ63" ca="1">IFERROR(
 INDEX(FixtureEqCosts,
  SMALL(
   IF(
    FixtureInclude="x",
    ROW(FixtureEqCosts)-ROW(Fixtures!$B$36)
   ),
   COLUMNS($D63:BQ63)
  )
 ),"")</f>
        <v/>
      </c>
      <c r="BR63" s="672" t="str">
        <f t="array" aca="1" ref="BR63" ca="1">IFERROR(
 INDEX(FixtureEqCosts,
  SMALL(
   IF(
    FixtureInclude="x",
    ROW(FixtureEqCosts)-ROW(Fixtures!$B$36)
   ),
   COLUMNS($D63:BR63)
  )
 ),"")</f>
        <v/>
      </c>
      <c r="BS63" s="672" t="str">
        <f t="array" aca="1" ref="BS63" ca="1">IFERROR(
 INDEX(FixtureEqCosts,
  SMALL(
   IF(
    FixtureInclude="x",
    ROW(FixtureEqCosts)-ROW(Fixtures!$B$36)
   ),
   COLUMNS($D63:BS63)
  )
 ),"")</f>
        <v/>
      </c>
      <c r="BT63" s="672" t="str">
        <f t="array" aca="1" ref="BT63" ca="1">IFERROR(
 INDEX(FixtureEqCosts,
  SMALL(
   IF(
    FixtureInclude="x",
    ROW(FixtureEqCosts)-ROW(Fixtures!$B$36)
   ),
   COLUMNS($D63:BT63)
  )
 ),"")</f>
        <v/>
      </c>
      <c r="BU63" s="672" t="str">
        <f t="array" aca="1" ref="BU63" ca="1">IFERROR(
 INDEX(FixtureEqCosts,
  SMALL(
   IF(
    FixtureInclude="x",
    ROW(FixtureEqCosts)-ROW(Fixtures!$B$36)
   ),
   COLUMNS($D63:BU63)
  )
 ),"")</f>
        <v/>
      </c>
      <c r="BV63" s="672" t="str">
        <f t="array" aca="1" ref="BV63" ca="1">IFERROR(
 INDEX(FixtureEqCosts,
  SMALL(
   IF(
    FixtureInclude="x",
    ROW(FixtureEqCosts)-ROW(Fixtures!$B$36)
   ),
   COLUMNS($D63:BV63)
  )
 ),"")</f>
        <v/>
      </c>
      <c r="BW63" s="672" t="str">
        <f t="array" aca="1" ref="BW63" ca="1">IFERROR(
 INDEX(FixtureEqCosts,
  SMALL(
   IF(
    FixtureInclude="x",
    ROW(FixtureEqCosts)-ROW(Fixtures!$B$36)
   ),
   COLUMNS($D63:BW63)
  )
 ),"")</f>
        <v/>
      </c>
      <c r="BX63" s="672" t="str">
        <f t="array" aca="1" ref="BX63" ca="1">IFERROR(
 INDEX(FixtureEqCosts,
  SMALL(
   IF(
    FixtureInclude="x",
    ROW(FixtureEqCosts)-ROW(Fixtures!$B$36)
   ),
   COLUMNS($D63:BX63)
  )
 ),"")</f>
        <v/>
      </c>
      <c r="BY63" s="672" t="str">
        <f t="array" aca="1" ref="BY63" ca="1">IFERROR(
 INDEX(FixtureEqCosts,
  SMALL(
   IF(
    FixtureInclude="x",
    ROW(FixtureEqCosts)-ROW(Fixtures!$B$36)
   ),
   COLUMNS($D63:BY63)
  )
 ),"")</f>
        <v/>
      </c>
      <c r="BZ63" s="672" t="str">
        <f t="array" aca="1" ref="BZ63" ca="1">IFERROR(
 INDEX(FixtureEqCosts,
  SMALL(
   IF(
    FixtureInclude="x",
    ROW(FixtureEqCosts)-ROW(Fixtures!$B$36)
   ),
   COLUMNS($D63:BZ63)
  )
 ),"")</f>
        <v/>
      </c>
      <c r="CA63" s="672" t="str">
        <f t="array" aca="1" ref="CA63" ca="1">IFERROR(
 INDEX(FixtureEqCosts,
  SMALL(
   IF(
    FixtureInclude="x",
    ROW(FixtureEqCosts)-ROW(Fixtures!$B$36)
   ),
   COLUMNS($D63:CA63)
  )
 ),"")</f>
        <v/>
      </c>
      <c r="CB63" s="672" t="str">
        <f t="array" aca="1" ref="CB63" ca="1">IFERROR(
 INDEX(FixtureEqCosts,
  SMALL(
   IF(
    FixtureInclude="x",
    ROW(FixtureEqCosts)-ROW(Fixtures!$B$36)
   ),
   COLUMNS($D63:CB63)
  )
 ),"")</f>
        <v/>
      </c>
      <c r="CC63" s="672" t="str">
        <f t="array" aca="1" ref="CC63" ca="1">IFERROR(
 INDEX(FixtureEqCosts,
  SMALL(
   IF(
    FixtureInclude="x",
    ROW(FixtureEqCosts)-ROW(Fixtures!$B$36)
   ),
   COLUMNS($D63:CC63)
  )
 ),"")</f>
        <v/>
      </c>
      <c r="CD63" s="672" t="str">
        <f t="array" aca="1" ref="CD63" ca="1">IFERROR(
 INDEX(FixtureEqCosts,
  SMALL(
   IF(
    FixtureInclude="x",
    ROW(FixtureEqCosts)-ROW(Fixtures!$B$36)
   ),
   COLUMNS($D63:CD63)
  )
 ),"")</f>
        <v/>
      </c>
      <c r="CE63" s="672" t="str">
        <f t="array" aca="1" ref="CE63" ca="1">IFERROR(
 INDEX(FixtureEqCosts,
  SMALL(
   IF(
    FixtureInclude="x",
    ROW(FixtureEqCosts)-ROW(Fixtures!$B$36)
   ),
   COLUMNS($D63:CE63)
  )
 ),"")</f>
        <v/>
      </c>
      <c r="CF63" s="672" t="str">
        <f t="array" aca="1" ref="CF63" ca="1">IFERROR(
 INDEX(FixtureEqCosts,
  SMALL(
   IF(
    FixtureInclude="x",
    ROW(FixtureEqCosts)-ROW(Fixtures!$B$36)
   ),
   COLUMNS($D63:CF63)
  )
 ),"")</f>
        <v/>
      </c>
      <c r="CG63" s="672" t="str">
        <f t="array" aca="1" ref="CG63" ca="1">IFERROR(
 INDEX(FixtureEqCosts,
  SMALL(
   IF(
    FixtureInclude="x",
    ROW(FixtureEqCosts)-ROW(Fixtures!$B$36)
   ),
   COLUMNS($D63:CG63)
  )
 ),"")</f>
        <v/>
      </c>
      <c r="CH63" s="672" t="str">
        <f t="array" aca="1" ref="CH63" ca="1">IFERROR(
 INDEX(FixtureEqCosts,
  SMALL(
   IF(
    FixtureInclude="x",
    ROW(FixtureEqCosts)-ROW(Fixtures!$B$36)
   ),
   COLUMNS($D63:CH63)
  )
 ),"")</f>
        <v/>
      </c>
      <c r="CI63" s="672" t="str">
        <f t="array" aca="1" ref="CI63" ca="1">IFERROR(
 INDEX(FixtureEqCosts,
  SMALL(
   IF(
    FixtureInclude="x",
    ROW(FixtureEqCosts)-ROW(Fixtures!$B$36)
   ),
   COLUMNS($D63:CI63)
  )
 ),"")</f>
        <v/>
      </c>
      <c r="CJ63" s="672" t="str">
        <f t="array" aca="1" ref="CJ63" ca="1">IFERROR(
 INDEX(FixtureEqCosts,
  SMALL(
   IF(
    FixtureInclude="x",
    ROW(FixtureEqCosts)-ROW(Fixtures!$B$36)
   ),
   COLUMNS($D63:CJ63)
  )
 ),"")</f>
        <v/>
      </c>
      <c r="CK63" s="672" t="str">
        <f t="array" aca="1" ref="CK63" ca="1">IFERROR(
 INDEX(FixtureEqCosts,
  SMALL(
   IF(
    FixtureInclude="x",
    ROW(FixtureEqCosts)-ROW(Fixtures!$B$36)
   ),
   COLUMNS($D63:CK63)
  )
 ),"")</f>
        <v/>
      </c>
      <c r="CL63" s="672" t="str">
        <f t="array" aca="1" ref="CL63" ca="1">IFERROR(
 INDEX(FixtureEqCosts,
  SMALL(
   IF(
    FixtureInclude="x",
    ROW(FixtureEqCosts)-ROW(Fixtures!$B$36)
   ),
   COLUMNS($D63:CL63)
  )
 ),"")</f>
        <v/>
      </c>
      <c r="CM63" s="672" t="str">
        <f t="array" aca="1" ref="CM63" ca="1">IFERROR(
 INDEX(FixtureEqCosts,
  SMALL(
   IF(
    FixtureInclude="x",
    ROW(FixtureEqCosts)-ROW(Fixtures!$B$36)
   ),
   COLUMNS($D63:CM63)
  )
 ),"")</f>
        <v/>
      </c>
      <c r="CN63" s="672" t="str">
        <f t="array" aca="1" ref="CN63" ca="1">IFERROR(
 INDEX(FixtureEqCosts,
  SMALL(
   IF(
    FixtureInclude="x",
    ROW(FixtureEqCosts)-ROW(Fixtures!$B$36)
   ),
   COLUMNS($D63:CN63)
  )
 ),"")</f>
        <v/>
      </c>
      <c r="CO63" s="672" t="str">
        <f t="array" aca="1" ref="CO63" ca="1">IFERROR(
 INDEX(FixtureEqCosts,
  SMALL(
   IF(
    FixtureInclude="x",
    ROW(FixtureEqCosts)-ROW(Fixtures!$B$36)
   ),
   COLUMNS($D63:CO63)
  )
 ),"")</f>
        <v/>
      </c>
      <c r="CP63" s="672" t="str">
        <f t="array" aca="1" ref="CP63" ca="1">IFERROR(
 INDEX(FixtureEqCosts,
  SMALL(
   IF(
    FixtureInclude="x",
    ROW(FixtureEqCosts)-ROW(Fixtures!$B$36)
   ),
   COLUMNS($D63:CP63)
  )
 ),"")</f>
        <v/>
      </c>
      <c r="CQ63" s="672" t="str">
        <f t="array" aca="1" ref="CQ63" ca="1">IFERROR(
 INDEX(FixtureEqCosts,
  SMALL(
   IF(
    FixtureInclude="x",
    ROW(FixtureEqCosts)-ROW(Fixtures!$B$36)
   ),
   COLUMNS($D63:CQ63)
  )
 ),"")</f>
        <v/>
      </c>
      <c r="CR63" s="672" t="str">
        <f t="array" aca="1" ref="CR63" ca="1">IFERROR(
 INDEX(FixtureEqCosts,
  SMALL(
   IF(
    FixtureInclude="x",
    ROW(FixtureEqCosts)-ROW(Fixtures!$B$36)
   ),
   COLUMNS($D63:CR63)
  )
 ),"")</f>
        <v/>
      </c>
      <c r="CS63" s="672" t="str">
        <f t="array" aca="1" ref="CS63" ca="1">IFERROR(
 INDEX(FixtureEqCosts,
  SMALL(
   IF(
    FixtureInclude="x",
    ROW(FixtureEqCosts)-ROW(Fixtures!$B$36)
   ),
   COLUMNS($D63:CS63)
  )
 ),"")</f>
        <v/>
      </c>
      <c r="CT63" s="672" t="str">
        <f t="array" aca="1" ref="CT63" ca="1">IFERROR(
 INDEX(FixtureEqCosts,
  SMALL(
   IF(
    FixtureInclude="x",
    ROW(FixtureEqCosts)-ROW(Fixtures!$B$36)
   ),
   COLUMNS($D63:CT63)
  )
 ),"")</f>
        <v/>
      </c>
      <c r="CU63" s="672" t="str">
        <f t="array" aca="1" ref="CU63" ca="1">IFERROR(
 INDEX(FixtureEqCosts,
  SMALL(
   IF(
    FixtureInclude="x",
    ROW(FixtureEqCosts)-ROW(Fixtures!$B$36)
   ),
   COLUMNS($D63:CU63)
  )
 ),"")</f>
        <v/>
      </c>
      <c r="CV63" s="672" t="str">
        <f t="array" aca="1" ref="CV63" ca="1">IFERROR(
 INDEX(FixtureEqCosts,
  SMALL(
   IF(
    FixtureInclude="x",
    ROW(FixtureEqCosts)-ROW(Fixtures!$B$36)
   ),
   COLUMNS($D63:CV63)
  )
 ),"")</f>
        <v/>
      </c>
      <c r="CW63" s="672" t="str">
        <f t="array" aca="1" ref="CW63" ca="1">IFERROR(
 INDEX(FixtureEqCosts,
  SMALL(
   IF(
    FixtureInclude="x",
    ROW(FixtureEqCosts)-ROW(Fixtures!$B$36)
   ),
   COLUMNS($D63:CW63)
  )
 ),"")</f>
        <v/>
      </c>
      <c r="CX63" s="672" t="str">
        <f t="array" aca="1" ref="CX63" ca="1">IFERROR(
 INDEX(FixtureEqCosts,
  SMALL(
   IF(
    FixtureInclude="x",
    ROW(FixtureEqCosts)-ROW(Fixtures!$B$36)
   ),
   COLUMNS($D63:CX63)
  )
 ),"")</f>
        <v/>
      </c>
      <c r="CY63" s="672" t="str">
        <f t="array" aca="1" ref="CY63" ca="1">IFERROR(
 INDEX(FixtureEqCosts,
  SMALL(
   IF(
    FixtureInclude="x",
    ROW(FixtureEqCosts)-ROW(Fixtures!$B$36)
   ),
   COLUMNS($D63:CY63)
  )
 ),"")</f>
        <v/>
      </c>
      <c r="CZ63" s="672" t="str">
        <f t="array" aca="1" ref="CZ63" ca="1">IFERROR(
 INDEX(FixtureEqCosts,
  SMALL(
   IF(
    FixtureInclude="x",
    ROW(FixtureEqCosts)-ROW(Fixtures!$B$36)
   ),
   COLUMNS($D63:CZ63)
  )
 ),"")</f>
        <v/>
      </c>
      <c r="DA63" s="672" t="str">
        <f t="array" aca="1" ref="DA63" ca="1">IFERROR(
 INDEX(FixtureEqCosts,
  SMALL(
   IF(
    FixtureInclude="x",
    ROW(FixtureEqCosts)-ROW(Fixtures!$B$36)
   ),
   COLUMNS($D63:DA63)
  )
 ),"")</f>
        <v/>
      </c>
      <c r="DB63" s="672" t="str">
        <f t="array" aca="1" ref="DB63" ca="1">IFERROR(
 INDEX(FixtureEqCosts,
  SMALL(
   IF(
    FixtureInclude="x",
    ROW(FixtureEqCosts)-ROW(Fixtures!$B$36)
   ),
   COLUMNS($D63:DB63)
  )
 ),"")</f>
        <v/>
      </c>
      <c r="DC63" s="672" t="str">
        <f t="array" aca="1" ref="DC63" ca="1">IFERROR(
 INDEX(FixtureEqCosts,
  SMALL(
   IF(
    FixtureInclude="x",
    ROW(FixtureEqCosts)-ROW(Fixtures!$B$36)
   ),
   COLUMNS($D63:DC63)
  )
 ),"")</f>
        <v/>
      </c>
      <c r="DD63" s="672" t="str">
        <f t="array" aca="1" ref="DD63" ca="1">IFERROR(
 INDEX(FixtureEqCosts,
  SMALL(
   IF(
    FixtureInclude="x",
    ROW(FixtureEqCosts)-ROW(Fixtures!$B$36)
   ),
   COLUMNS($D63:DD63)
  )
 ),"")</f>
        <v/>
      </c>
      <c r="DE63" s="672" t="str">
        <f t="array" aca="1" ref="DE63" ca="1">IFERROR(
 INDEX(FixtureEqCosts,
  SMALL(
   IF(
    FixtureInclude="x",
    ROW(FixtureEqCosts)-ROW(Fixtures!$B$36)
   ),
   COLUMNS($D63:DE63)
  )
 ),"")</f>
        <v/>
      </c>
      <c r="DF63" s="672" t="str">
        <f t="array" aca="1" ref="DF63" ca="1">IFERROR(
 INDEX(FixtureEqCosts,
  SMALL(
   IF(
    FixtureInclude="x",
    ROW(FixtureEqCosts)-ROW(Fixtures!$B$36)
   ),
   COLUMNS($D63:DF63)
  )
 ),"")</f>
        <v/>
      </c>
      <c r="DG63" s="672" t="str">
        <f t="array" aca="1" ref="DG63" ca="1">IFERROR(
 INDEX(FixtureEqCosts,
  SMALL(
   IF(
    FixtureInclude="x",
    ROW(FixtureEqCosts)-ROW(Fixtures!$B$36)
   ),
   COLUMNS($D63:DG63)
  )
 ),"")</f>
        <v/>
      </c>
      <c r="DH63" s="672" t="str">
        <f t="array" aca="1" ref="DH63" ca="1">IFERROR(
 INDEX(FixtureEqCosts,
  SMALL(
   IF(
    FixtureInclude="x",
    ROW(FixtureEqCosts)-ROW(Fixtures!$B$36)
   ),
   COLUMNS($D63:DH63)
  )
 ),"")</f>
        <v/>
      </c>
    </row>
    <row r="64" spans="1:112">
      <c r="B64" s="565" t="str">
        <f>Fixtures!E24</f>
        <v>Installation Cost ($/fixture)</v>
      </c>
      <c r="C64" s="672">
        <f>Fixtures!F24</f>
        <v>0</v>
      </c>
      <c r="D64" s="672">
        <f t="array" aca="1" ref="D64" ca="1">IFERROR(
 INDEX(FixtureInstCosts,
  SMALL(
   IF(
    FixtureInclude="x",
    ROW(FixtureInstCosts)-ROW(Fixtures!$B$36)
   ),
   COLUMNS($D64:D64)
  )
 ),"")</f>
        <v>100</v>
      </c>
      <c r="E64" s="672" t="str">
        <f t="array" aca="1" ref="E64" ca="1">IFERROR(
 INDEX(FixtureInstCosts,
  SMALL(
   IF(
    FixtureInclude="x",
    ROW(FixtureInstCosts)-ROW(Fixtures!$B$36)
   ),
   COLUMNS($D64:E64)
  )
 ),"")</f>
        <v/>
      </c>
      <c r="F64" s="672" t="str">
        <f t="array" aca="1" ref="F64" ca="1">IFERROR(
 INDEX(FixtureInstCosts,
  SMALL(
   IF(
    FixtureInclude="x",
    ROW(FixtureInstCosts)-ROW(Fixtures!$B$36)
   ),
   COLUMNS($D64:F64)
  )
 ),"")</f>
        <v/>
      </c>
      <c r="G64" s="672" t="str">
        <f t="array" aca="1" ref="G64" ca="1">IFERROR(
 INDEX(FixtureInstCosts,
  SMALL(
   IF(
    FixtureInclude="x",
    ROW(FixtureInstCosts)-ROW(Fixtures!$B$36)
   ),
   COLUMNS($D64:G64)
  )
 ),"")</f>
        <v/>
      </c>
      <c r="H64" s="672" t="str">
        <f t="array" aca="1" ref="H64" ca="1">IFERROR(
 INDEX(FixtureInstCosts,
  SMALL(
   IF(
    FixtureInclude="x",
    ROW(FixtureInstCosts)-ROW(Fixtures!$B$36)
   ),
   COLUMNS($D64:H64)
  )
 ),"")</f>
        <v/>
      </c>
      <c r="I64" s="672" t="str">
        <f t="array" aca="1" ref="I64" ca="1">IFERROR(
 INDEX(FixtureInstCosts,
  SMALL(
   IF(
    FixtureInclude="x",
    ROW(FixtureInstCosts)-ROW(Fixtures!$B$36)
   ),
   COLUMNS($D64:I64)
  )
 ),"")</f>
        <v/>
      </c>
      <c r="J64" s="672" t="str">
        <f t="array" aca="1" ref="J64" ca="1">IFERROR(
 INDEX(FixtureInstCosts,
  SMALL(
   IF(
    FixtureInclude="x",
    ROW(FixtureInstCosts)-ROW(Fixtures!$B$36)
   ),
   COLUMNS($D64:J64)
  )
 ),"")</f>
        <v/>
      </c>
      <c r="K64" s="672" t="str">
        <f t="array" aca="1" ref="K64" ca="1">IFERROR(
 INDEX(FixtureInstCosts,
  SMALL(
   IF(
    FixtureInclude="x",
    ROW(FixtureInstCosts)-ROW(Fixtures!$B$36)
   ),
   COLUMNS($D64:K64)
  )
 ),"")</f>
        <v/>
      </c>
      <c r="L64" s="672" t="str">
        <f t="array" aca="1" ref="L64" ca="1">IFERROR(
 INDEX(FixtureInstCosts,
  SMALL(
   IF(
    FixtureInclude="x",
    ROW(FixtureInstCosts)-ROW(Fixtures!$B$36)
   ),
   COLUMNS($D64:L64)
  )
 ),"")</f>
        <v/>
      </c>
      <c r="M64" s="672" t="str">
        <f t="array" aca="1" ref="M64" ca="1">IFERROR(
 INDEX(FixtureInstCosts,
  SMALL(
   IF(
    FixtureInclude="x",
    ROW(FixtureInstCosts)-ROW(Fixtures!$B$36)
   ),
   COLUMNS($D64:M64)
  )
 ),"")</f>
        <v/>
      </c>
      <c r="N64" s="672" t="str">
        <f t="array" aca="1" ref="N64" ca="1">IFERROR(
 INDEX(FixtureInstCosts,
  SMALL(
   IF(
    FixtureInclude="x",
    ROW(FixtureInstCosts)-ROW(Fixtures!$B$36)
   ),
   COLUMNS($D64:N64)
  )
 ),"")</f>
        <v/>
      </c>
      <c r="O64" s="672" t="str">
        <f t="array" aca="1" ref="O64" ca="1">IFERROR(
 INDEX(FixtureInstCosts,
  SMALL(
   IF(
    FixtureInclude="x",
    ROW(FixtureInstCosts)-ROW(Fixtures!$B$36)
   ),
   COLUMNS($D64:O64)
  )
 ),"")</f>
        <v/>
      </c>
      <c r="P64" s="672" t="str">
        <f t="array" aca="1" ref="P64" ca="1">IFERROR(
 INDEX(FixtureInstCosts,
  SMALL(
   IF(
    FixtureInclude="x",
    ROW(FixtureInstCosts)-ROW(Fixtures!$B$36)
   ),
   COLUMNS($D64:P64)
  )
 ),"")</f>
        <v/>
      </c>
      <c r="Q64" s="672" t="str">
        <f t="array" aca="1" ref="Q64" ca="1">IFERROR(
 INDEX(FixtureInstCosts,
  SMALL(
   IF(
    FixtureInclude="x",
    ROW(FixtureInstCosts)-ROW(Fixtures!$B$36)
   ),
   COLUMNS($D64:Q64)
  )
 ),"")</f>
        <v/>
      </c>
      <c r="R64" s="672" t="str">
        <f t="array" aca="1" ref="R64" ca="1">IFERROR(
 INDEX(FixtureInstCosts,
  SMALL(
   IF(
    FixtureInclude="x",
    ROW(FixtureInstCosts)-ROW(Fixtures!$B$36)
   ),
   COLUMNS($D64:R64)
  )
 ),"")</f>
        <v/>
      </c>
      <c r="S64" s="672" t="str">
        <f t="array" aca="1" ref="S64" ca="1">IFERROR(
 INDEX(FixtureInstCosts,
  SMALL(
   IF(
    FixtureInclude="x",
    ROW(FixtureInstCosts)-ROW(Fixtures!$B$36)
   ),
   COLUMNS($D64:S64)
  )
 ),"")</f>
        <v/>
      </c>
      <c r="T64" s="672" t="str">
        <f t="array" aca="1" ref="T64" ca="1">IFERROR(
 INDEX(FixtureInstCosts,
  SMALL(
   IF(
    FixtureInclude="x",
    ROW(FixtureInstCosts)-ROW(Fixtures!$B$36)
   ),
   COLUMNS($D64:T64)
  )
 ),"")</f>
        <v/>
      </c>
      <c r="U64" s="672" t="str">
        <f t="array" aca="1" ref="U64" ca="1">IFERROR(
 INDEX(FixtureInstCosts,
  SMALL(
   IF(
    FixtureInclude="x",
    ROW(FixtureInstCosts)-ROW(Fixtures!$B$36)
   ),
   COLUMNS($D64:U64)
  )
 ),"")</f>
        <v/>
      </c>
      <c r="V64" s="672" t="str">
        <f t="array" aca="1" ref="V64" ca="1">IFERROR(
 INDEX(FixtureInstCosts,
  SMALL(
   IF(
    FixtureInclude="x",
    ROW(FixtureInstCosts)-ROW(Fixtures!$B$36)
   ),
   COLUMNS($D64:V64)
  )
 ),"")</f>
        <v/>
      </c>
      <c r="W64" s="672" t="str">
        <f t="array" aca="1" ref="W64" ca="1">IFERROR(
 INDEX(FixtureInstCosts,
  SMALL(
   IF(
    FixtureInclude="x",
    ROW(FixtureInstCosts)-ROW(Fixtures!$B$36)
   ),
   COLUMNS($D64:W64)
  )
 ),"")</f>
        <v/>
      </c>
      <c r="X64" s="672" t="str">
        <f t="array" aca="1" ref="X64" ca="1">IFERROR(
 INDEX(FixtureInstCosts,
  SMALL(
   IF(
    FixtureInclude="x",
    ROW(FixtureInstCosts)-ROW(Fixtures!$B$36)
   ),
   COLUMNS($D64:X64)
  )
 ),"")</f>
        <v/>
      </c>
      <c r="Y64" s="672" t="str">
        <f t="array" aca="1" ref="Y64" ca="1">IFERROR(
 INDEX(FixtureInstCosts,
  SMALL(
   IF(
    FixtureInclude="x",
    ROW(FixtureInstCosts)-ROW(Fixtures!$B$36)
   ),
   COLUMNS($D64:Y64)
  )
 ),"")</f>
        <v/>
      </c>
      <c r="Z64" s="672" t="str">
        <f t="array" aca="1" ref="Z64" ca="1">IFERROR(
 INDEX(FixtureInstCosts,
  SMALL(
   IF(
    FixtureInclude="x",
    ROW(FixtureInstCosts)-ROW(Fixtures!$B$36)
   ),
   COLUMNS($D64:Z64)
  )
 ),"")</f>
        <v/>
      </c>
      <c r="AA64" s="672" t="str">
        <f t="array" aca="1" ref="AA64" ca="1">IFERROR(
 INDEX(FixtureInstCosts,
  SMALL(
   IF(
    FixtureInclude="x",
    ROW(FixtureInstCosts)-ROW(Fixtures!$B$36)
   ),
   COLUMNS($D64:AA64)
  )
 ),"")</f>
        <v/>
      </c>
      <c r="AB64" s="672" t="str">
        <f t="array" aca="1" ref="AB64" ca="1">IFERROR(
 INDEX(FixtureInstCosts,
  SMALL(
   IF(
    FixtureInclude="x",
    ROW(FixtureInstCosts)-ROW(Fixtures!$B$36)
   ),
   COLUMNS($D64:AB64)
  )
 ),"")</f>
        <v/>
      </c>
      <c r="AC64" s="672" t="str">
        <f t="array" aca="1" ref="AC64" ca="1">IFERROR(
 INDEX(FixtureInstCosts,
  SMALL(
   IF(
    FixtureInclude="x",
    ROW(FixtureInstCosts)-ROW(Fixtures!$B$36)
   ),
   COLUMNS($D64:AC64)
  )
 ),"")</f>
        <v/>
      </c>
      <c r="AD64" s="672" t="str">
        <f t="array" aca="1" ref="AD64" ca="1">IFERROR(
 INDEX(FixtureInstCosts,
  SMALL(
   IF(
    FixtureInclude="x",
    ROW(FixtureInstCosts)-ROW(Fixtures!$B$36)
   ),
   COLUMNS($D64:AD64)
  )
 ),"")</f>
        <v/>
      </c>
      <c r="AE64" s="672" t="str">
        <f t="array" aca="1" ref="AE64" ca="1">IFERROR(
 INDEX(FixtureInstCosts,
  SMALL(
   IF(
    FixtureInclude="x",
    ROW(FixtureInstCosts)-ROW(Fixtures!$B$36)
   ),
   COLUMNS($D64:AE64)
  )
 ),"")</f>
        <v/>
      </c>
      <c r="AF64" s="672" t="str">
        <f t="array" aca="1" ref="AF64" ca="1">IFERROR(
 INDEX(FixtureInstCosts,
  SMALL(
   IF(
    FixtureInclude="x",
    ROW(FixtureInstCosts)-ROW(Fixtures!$B$36)
   ),
   COLUMNS($D64:AF64)
  )
 ),"")</f>
        <v/>
      </c>
      <c r="AG64" s="672" t="str">
        <f t="array" aca="1" ref="AG64" ca="1">IFERROR(
 INDEX(FixtureInstCosts,
  SMALL(
   IF(
    FixtureInclude="x",
    ROW(FixtureInstCosts)-ROW(Fixtures!$B$36)
   ),
   COLUMNS($D64:AG64)
  )
 ),"")</f>
        <v/>
      </c>
      <c r="AH64" s="672" t="str">
        <f t="array" aca="1" ref="AH64" ca="1">IFERROR(
 INDEX(FixtureInstCosts,
  SMALL(
   IF(
    FixtureInclude="x",
    ROW(FixtureInstCosts)-ROW(Fixtures!$B$36)
   ),
   COLUMNS($D64:AH64)
  )
 ),"")</f>
        <v/>
      </c>
      <c r="AI64" s="672" t="str">
        <f t="array" aca="1" ref="AI64" ca="1">IFERROR(
 INDEX(FixtureInstCosts,
  SMALL(
   IF(
    FixtureInclude="x",
    ROW(FixtureInstCosts)-ROW(Fixtures!$B$36)
   ),
   COLUMNS($D64:AI64)
  )
 ),"")</f>
        <v/>
      </c>
      <c r="AJ64" s="672" t="str">
        <f t="array" aca="1" ref="AJ64" ca="1">IFERROR(
 INDEX(FixtureInstCosts,
  SMALL(
   IF(
    FixtureInclude="x",
    ROW(FixtureInstCosts)-ROW(Fixtures!$B$36)
   ),
   COLUMNS($D64:AJ64)
  )
 ),"")</f>
        <v/>
      </c>
      <c r="AK64" s="672" t="str">
        <f t="array" aca="1" ref="AK64" ca="1">IFERROR(
 INDEX(FixtureInstCosts,
  SMALL(
   IF(
    FixtureInclude="x",
    ROW(FixtureInstCosts)-ROW(Fixtures!$B$36)
   ),
   COLUMNS($D64:AK64)
  )
 ),"")</f>
        <v/>
      </c>
      <c r="AL64" s="672" t="str">
        <f t="array" aca="1" ref="AL64" ca="1">IFERROR(
 INDEX(FixtureInstCosts,
  SMALL(
   IF(
    FixtureInclude="x",
    ROW(FixtureInstCosts)-ROW(Fixtures!$B$36)
   ),
   COLUMNS($D64:AL64)
  )
 ),"")</f>
        <v/>
      </c>
      <c r="AM64" s="672" t="str">
        <f t="array" aca="1" ref="AM64" ca="1">IFERROR(
 INDEX(FixtureInstCosts,
  SMALL(
   IF(
    FixtureInclude="x",
    ROW(FixtureInstCosts)-ROW(Fixtures!$B$36)
   ),
   COLUMNS($D64:AM64)
  )
 ),"")</f>
        <v/>
      </c>
      <c r="AN64" s="672" t="str">
        <f t="array" aca="1" ref="AN64" ca="1">IFERROR(
 INDEX(FixtureInstCosts,
  SMALL(
   IF(
    FixtureInclude="x",
    ROW(FixtureInstCosts)-ROW(Fixtures!$B$36)
   ),
   COLUMNS($D64:AN64)
  )
 ),"")</f>
        <v/>
      </c>
      <c r="AO64" s="672" t="str">
        <f t="array" aca="1" ref="AO64" ca="1">IFERROR(
 INDEX(FixtureInstCosts,
  SMALL(
   IF(
    FixtureInclude="x",
    ROW(FixtureInstCosts)-ROW(Fixtures!$B$36)
   ),
   COLUMNS($D64:AO64)
  )
 ),"")</f>
        <v/>
      </c>
      <c r="AP64" s="672" t="str">
        <f t="array" aca="1" ref="AP64" ca="1">IFERROR(
 INDEX(FixtureInstCosts,
  SMALL(
   IF(
    FixtureInclude="x",
    ROW(FixtureInstCosts)-ROW(Fixtures!$B$36)
   ),
   COLUMNS($D64:AP64)
  )
 ),"")</f>
        <v/>
      </c>
      <c r="AQ64" s="672" t="str">
        <f t="array" aca="1" ref="AQ64" ca="1">IFERROR(
 INDEX(FixtureInstCosts,
  SMALL(
   IF(
    FixtureInclude="x",
    ROW(FixtureInstCosts)-ROW(Fixtures!$B$36)
   ),
   COLUMNS($D64:AQ64)
  )
 ),"")</f>
        <v/>
      </c>
      <c r="AR64" s="672" t="str">
        <f t="array" aca="1" ref="AR64" ca="1">IFERROR(
 INDEX(FixtureInstCosts,
  SMALL(
   IF(
    FixtureInclude="x",
    ROW(FixtureInstCosts)-ROW(Fixtures!$B$36)
   ),
   COLUMNS($D64:AR64)
  )
 ),"")</f>
        <v/>
      </c>
      <c r="AS64" s="672" t="str">
        <f t="array" aca="1" ref="AS64" ca="1">IFERROR(
 INDEX(FixtureInstCosts,
  SMALL(
   IF(
    FixtureInclude="x",
    ROW(FixtureInstCosts)-ROW(Fixtures!$B$36)
   ),
   COLUMNS($D64:AS64)
  )
 ),"")</f>
        <v/>
      </c>
      <c r="AT64" s="672" t="str">
        <f t="array" aca="1" ref="AT64" ca="1">IFERROR(
 INDEX(FixtureInstCosts,
  SMALL(
   IF(
    FixtureInclude="x",
    ROW(FixtureInstCosts)-ROW(Fixtures!$B$36)
   ),
   COLUMNS($D64:AT64)
  )
 ),"")</f>
        <v/>
      </c>
      <c r="AU64" s="672" t="str">
        <f t="array" aca="1" ref="AU64" ca="1">IFERROR(
 INDEX(FixtureInstCosts,
  SMALL(
   IF(
    FixtureInclude="x",
    ROW(FixtureInstCosts)-ROW(Fixtures!$B$36)
   ),
   COLUMNS($D64:AU64)
  )
 ),"")</f>
        <v/>
      </c>
      <c r="AV64" s="672" t="str">
        <f t="array" aca="1" ref="AV64" ca="1">IFERROR(
 INDEX(FixtureInstCosts,
  SMALL(
   IF(
    FixtureInclude="x",
    ROW(FixtureInstCosts)-ROW(Fixtures!$B$36)
   ),
   COLUMNS($D64:AV64)
  )
 ),"")</f>
        <v/>
      </c>
      <c r="AW64" s="672" t="str">
        <f t="array" aca="1" ref="AW64" ca="1">IFERROR(
 INDEX(FixtureInstCosts,
  SMALL(
   IF(
    FixtureInclude="x",
    ROW(FixtureInstCosts)-ROW(Fixtures!$B$36)
   ),
   COLUMNS($D64:AW64)
  )
 ),"")</f>
        <v/>
      </c>
      <c r="AX64" s="672" t="str">
        <f t="array" aca="1" ref="AX64" ca="1">IFERROR(
 INDEX(FixtureInstCosts,
  SMALL(
   IF(
    FixtureInclude="x",
    ROW(FixtureInstCosts)-ROW(Fixtures!$B$36)
   ),
   COLUMNS($D64:AX64)
  )
 ),"")</f>
        <v/>
      </c>
      <c r="AY64" s="672" t="str">
        <f t="array" aca="1" ref="AY64" ca="1">IFERROR(
 INDEX(FixtureInstCosts,
  SMALL(
   IF(
    FixtureInclude="x",
    ROW(FixtureInstCosts)-ROW(Fixtures!$B$36)
   ),
   COLUMNS($D64:AY64)
  )
 ),"")</f>
        <v/>
      </c>
      <c r="AZ64" s="672" t="str">
        <f t="array" aca="1" ref="AZ64" ca="1">IFERROR(
 INDEX(FixtureInstCosts,
  SMALL(
   IF(
    FixtureInclude="x",
    ROW(FixtureInstCosts)-ROW(Fixtures!$B$36)
   ),
   COLUMNS($D64:AZ64)
  )
 ),"")</f>
        <v/>
      </c>
      <c r="BA64" s="672" t="str">
        <f t="array" aca="1" ref="BA64" ca="1">IFERROR(
 INDEX(FixtureInstCosts,
  SMALL(
   IF(
    FixtureInclude="x",
    ROW(FixtureInstCosts)-ROW(Fixtures!$B$36)
   ),
   COLUMNS($D64:BA64)
  )
 ),"")</f>
        <v/>
      </c>
      <c r="BB64" s="672" t="str">
        <f t="array" aca="1" ref="BB64" ca="1">IFERROR(
 INDEX(FixtureInstCosts,
  SMALL(
   IF(
    FixtureInclude="x",
    ROW(FixtureInstCosts)-ROW(Fixtures!$B$36)
   ),
   COLUMNS($D64:BB64)
  )
 ),"")</f>
        <v/>
      </c>
      <c r="BC64" s="672" t="str">
        <f t="array" aca="1" ref="BC64" ca="1">IFERROR(
 INDEX(FixtureInstCosts,
  SMALL(
   IF(
    FixtureInclude="x",
    ROW(FixtureInstCosts)-ROW(Fixtures!$B$36)
   ),
   COLUMNS($D64:BC64)
  )
 ),"")</f>
        <v/>
      </c>
      <c r="BD64" s="672" t="str">
        <f t="array" aca="1" ref="BD64" ca="1">IFERROR(
 INDEX(FixtureInstCosts,
  SMALL(
   IF(
    FixtureInclude="x",
    ROW(FixtureInstCosts)-ROW(Fixtures!$B$36)
   ),
   COLUMNS($D64:BD64)
  )
 ),"")</f>
        <v/>
      </c>
      <c r="BE64" s="672" t="str">
        <f t="array" aca="1" ref="BE64" ca="1">IFERROR(
 INDEX(FixtureInstCosts,
  SMALL(
   IF(
    FixtureInclude="x",
    ROW(FixtureInstCosts)-ROW(Fixtures!$B$36)
   ),
   COLUMNS($D64:BE64)
  )
 ),"")</f>
        <v/>
      </c>
      <c r="BF64" s="672" t="str">
        <f t="array" aca="1" ref="BF64" ca="1">IFERROR(
 INDEX(FixtureInstCosts,
  SMALL(
   IF(
    FixtureInclude="x",
    ROW(FixtureInstCosts)-ROW(Fixtures!$B$36)
   ),
   COLUMNS($D64:BF64)
  )
 ),"")</f>
        <v/>
      </c>
      <c r="BG64" s="672" t="str">
        <f t="array" aca="1" ref="BG64" ca="1">IFERROR(
 INDEX(FixtureInstCosts,
  SMALL(
   IF(
    FixtureInclude="x",
    ROW(FixtureInstCosts)-ROW(Fixtures!$B$36)
   ),
   COLUMNS($D64:BG64)
  )
 ),"")</f>
        <v/>
      </c>
      <c r="BH64" s="672" t="str">
        <f t="array" aca="1" ref="BH64" ca="1">IFERROR(
 INDEX(FixtureInstCosts,
  SMALL(
   IF(
    FixtureInclude="x",
    ROW(FixtureInstCosts)-ROW(Fixtures!$B$36)
   ),
   COLUMNS($D64:BH64)
  )
 ),"")</f>
        <v/>
      </c>
      <c r="BI64" s="672" t="str">
        <f t="array" aca="1" ref="BI64" ca="1">IFERROR(
 INDEX(FixtureInstCosts,
  SMALL(
   IF(
    FixtureInclude="x",
    ROW(FixtureInstCosts)-ROW(Fixtures!$B$36)
   ),
   COLUMNS($D64:BI64)
  )
 ),"")</f>
        <v/>
      </c>
      <c r="BJ64" s="672" t="str">
        <f t="array" aca="1" ref="BJ64" ca="1">IFERROR(
 INDEX(FixtureInstCosts,
  SMALL(
   IF(
    FixtureInclude="x",
    ROW(FixtureInstCosts)-ROW(Fixtures!$B$36)
   ),
   COLUMNS($D64:BJ64)
  )
 ),"")</f>
        <v/>
      </c>
      <c r="BK64" s="672" t="str">
        <f t="array" aca="1" ref="BK64" ca="1">IFERROR(
 INDEX(FixtureInstCosts,
  SMALL(
   IF(
    FixtureInclude="x",
    ROW(FixtureInstCosts)-ROW(Fixtures!$B$36)
   ),
   COLUMNS($D64:BK64)
  )
 ),"")</f>
        <v/>
      </c>
      <c r="BL64" s="672" t="str">
        <f t="array" aca="1" ref="BL64" ca="1">IFERROR(
 INDEX(FixtureInstCosts,
  SMALL(
   IF(
    FixtureInclude="x",
    ROW(FixtureInstCosts)-ROW(Fixtures!$B$36)
   ),
   COLUMNS($D64:BL64)
  )
 ),"")</f>
        <v/>
      </c>
      <c r="BM64" s="672" t="str">
        <f t="array" aca="1" ref="BM64" ca="1">IFERROR(
 INDEX(FixtureInstCosts,
  SMALL(
   IF(
    FixtureInclude="x",
    ROW(FixtureInstCosts)-ROW(Fixtures!$B$36)
   ),
   COLUMNS($D64:BM64)
  )
 ),"")</f>
        <v/>
      </c>
      <c r="BN64" s="672" t="str">
        <f t="array" aca="1" ref="BN64" ca="1">IFERROR(
 INDEX(FixtureInstCosts,
  SMALL(
   IF(
    FixtureInclude="x",
    ROW(FixtureInstCosts)-ROW(Fixtures!$B$36)
   ),
   COLUMNS($D64:BN64)
  )
 ),"")</f>
        <v/>
      </c>
      <c r="BO64" s="672" t="str">
        <f t="array" aca="1" ref="BO64" ca="1">IFERROR(
 INDEX(FixtureInstCosts,
  SMALL(
   IF(
    FixtureInclude="x",
    ROW(FixtureInstCosts)-ROW(Fixtures!$B$36)
   ),
   COLUMNS($D64:BO64)
  )
 ),"")</f>
        <v/>
      </c>
      <c r="BP64" s="672" t="str">
        <f t="array" aca="1" ref="BP64" ca="1">IFERROR(
 INDEX(FixtureInstCosts,
  SMALL(
   IF(
    FixtureInclude="x",
    ROW(FixtureInstCosts)-ROW(Fixtures!$B$36)
   ),
   COLUMNS($D64:BP64)
  )
 ),"")</f>
        <v/>
      </c>
      <c r="BQ64" s="672" t="str">
        <f t="array" aca="1" ref="BQ64" ca="1">IFERROR(
 INDEX(FixtureInstCosts,
  SMALL(
   IF(
    FixtureInclude="x",
    ROW(FixtureInstCosts)-ROW(Fixtures!$B$36)
   ),
   COLUMNS($D64:BQ64)
  )
 ),"")</f>
        <v/>
      </c>
      <c r="BR64" s="672" t="str">
        <f t="array" aca="1" ref="BR64" ca="1">IFERROR(
 INDEX(FixtureInstCosts,
  SMALL(
   IF(
    FixtureInclude="x",
    ROW(FixtureInstCosts)-ROW(Fixtures!$B$36)
   ),
   COLUMNS($D64:BR64)
  )
 ),"")</f>
        <v/>
      </c>
      <c r="BS64" s="672" t="str">
        <f t="array" aca="1" ref="BS64" ca="1">IFERROR(
 INDEX(FixtureInstCosts,
  SMALL(
   IF(
    FixtureInclude="x",
    ROW(FixtureInstCosts)-ROW(Fixtures!$B$36)
   ),
   COLUMNS($D64:BS64)
  )
 ),"")</f>
        <v/>
      </c>
      <c r="BT64" s="672" t="str">
        <f t="array" aca="1" ref="BT64" ca="1">IFERROR(
 INDEX(FixtureInstCosts,
  SMALL(
   IF(
    FixtureInclude="x",
    ROW(FixtureInstCosts)-ROW(Fixtures!$B$36)
   ),
   COLUMNS($D64:BT64)
  )
 ),"")</f>
        <v/>
      </c>
      <c r="BU64" s="672" t="str">
        <f t="array" aca="1" ref="BU64" ca="1">IFERROR(
 INDEX(FixtureInstCosts,
  SMALL(
   IF(
    FixtureInclude="x",
    ROW(FixtureInstCosts)-ROW(Fixtures!$B$36)
   ),
   COLUMNS($D64:BU64)
  )
 ),"")</f>
        <v/>
      </c>
      <c r="BV64" s="672" t="str">
        <f t="array" aca="1" ref="BV64" ca="1">IFERROR(
 INDEX(FixtureInstCosts,
  SMALL(
   IF(
    FixtureInclude="x",
    ROW(FixtureInstCosts)-ROW(Fixtures!$B$36)
   ),
   COLUMNS($D64:BV64)
  )
 ),"")</f>
        <v/>
      </c>
      <c r="BW64" s="672" t="str">
        <f t="array" aca="1" ref="BW64" ca="1">IFERROR(
 INDEX(FixtureInstCosts,
  SMALL(
   IF(
    FixtureInclude="x",
    ROW(FixtureInstCosts)-ROW(Fixtures!$B$36)
   ),
   COLUMNS($D64:BW64)
  )
 ),"")</f>
        <v/>
      </c>
      <c r="BX64" s="672" t="str">
        <f t="array" aca="1" ref="BX64" ca="1">IFERROR(
 INDEX(FixtureInstCosts,
  SMALL(
   IF(
    FixtureInclude="x",
    ROW(FixtureInstCosts)-ROW(Fixtures!$B$36)
   ),
   COLUMNS($D64:BX64)
  )
 ),"")</f>
        <v/>
      </c>
      <c r="BY64" s="672" t="str">
        <f t="array" aca="1" ref="BY64" ca="1">IFERROR(
 INDEX(FixtureInstCosts,
  SMALL(
   IF(
    FixtureInclude="x",
    ROW(FixtureInstCosts)-ROW(Fixtures!$B$36)
   ),
   COLUMNS($D64:BY64)
  )
 ),"")</f>
        <v/>
      </c>
      <c r="BZ64" s="672" t="str">
        <f t="array" aca="1" ref="BZ64" ca="1">IFERROR(
 INDEX(FixtureInstCosts,
  SMALL(
   IF(
    FixtureInclude="x",
    ROW(FixtureInstCosts)-ROW(Fixtures!$B$36)
   ),
   COLUMNS($D64:BZ64)
  )
 ),"")</f>
        <v/>
      </c>
      <c r="CA64" s="672" t="str">
        <f t="array" aca="1" ref="CA64" ca="1">IFERROR(
 INDEX(FixtureInstCosts,
  SMALL(
   IF(
    FixtureInclude="x",
    ROW(FixtureInstCosts)-ROW(Fixtures!$B$36)
   ),
   COLUMNS($D64:CA64)
  )
 ),"")</f>
        <v/>
      </c>
      <c r="CB64" s="672" t="str">
        <f t="array" aca="1" ref="CB64" ca="1">IFERROR(
 INDEX(FixtureInstCosts,
  SMALL(
   IF(
    FixtureInclude="x",
    ROW(FixtureInstCosts)-ROW(Fixtures!$B$36)
   ),
   COLUMNS($D64:CB64)
  )
 ),"")</f>
        <v/>
      </c>
      <c r="CC64" s="672" t="str">
        <f t="array" aca="1" ref="CC64" ca="1">IFERROR(
 INDEX(FixtureInstCosts,
  SMALL(
   IF(
    FixtureInclude="x",
    ROW(FixtureInstCosts)-ROW(Fixtures!$B$36)
   ),
   COLUMNS($D64:CC64)
  )
 ),"")</f>
        <v/>
      </c>
      <c r="CD64" s="672" t="str">
        <f t="array" aca="1" ref="CD64" ca="1">IFERROR(
 INDEX(FixtureInstCosts,
  SMALL(
   IF(
    FixtureInclude="x",
    ROW(FixtureInstCosts)-ROW(Fixtures!$B$36)
   ),
   COLUMNS($D64:CD64)
  )
 ),"")</f>
        <v/>
      </c>
      <c r="CE64" s="672" t="str">
        <f t="array" aca="1" ref="CE64" ca="1">IFERROR(
 INDEX(FixtureInstCosts,
  SMALL(
   IF(
    FixtureInclude="x",
    ROW(FixtureInstCosts)-ROW(Fixtures!$B$36)
   ),
   COLUMNS($D64:CE64)
  )
 ),"")</f>
        <v/>
      </c>
      <c r="CF64" s="672" t="str">
        <f t="array" aca="1" ref="CF64" ca="1">IFERROR(
 INDEX(FixtureInstCosts,
  SMALL(
   IF(
    FixtureInclude="x",
    ROW(FixtureInstCosts)-ROW(Fixtures!$B$36)
   ),
   COLUMNS($D64:CF64)
  )
 ),"")</f>
        <v/>
      </c>
      <c r="CG64" s="672" t="str">
        <f t="array" aca="1" ref="CG64" ca="1">IFERROR(
 INDEX(FixtureInstCosts,
  SMALL(
   IF(
    FixtureInclude="x",
    ROW(FixtureInstCosts)-ROW(Fixtures!$B$36)
   ),
   COLUMNS($D64:CG64)
  )
 ),"")</f>
        <v/>
      </c>
      <c r="CH64" s="672" t="str">
        <f t="array" aca="1" ref="CH64" ca="1">IFERROR(
 INDEX(FixtureInstCosts,
  SMALL(
   IF(
    FixtureInclude="x",
    ROW(FixtureInstCosts)-ROW(Fixtures!$B$36)
   ),
   COLUMNS($D64:CH64)
  )
 ),"")</f>
        <v/>
      </c>
      <c r="CI64" s="672" t="str">
        <f t="array" aca="1" ref="CI64" ca="1">IFERROR(
 INDEX(FixtureInstCosts,
  SMALL(
   IF(
    FixtureInclude="x",
    ROW(FixtureInstCosts)-ROW(Fixtures!$B$36)
   ),
   COLUMNS($D64:CI64)
  )
 ),"")</f>
        <v/>
      </c>
      <c r="CJ64" s="672" t="str">
        <f t="array" aca="1" ref="CJ64" ca="1">IFERROR(
 INDEX(FixtureInstCosts,
  SMALL(
   IF(
    FixtureInclude="x",
    ROW(FixtureInstCosts)-ROW(Fixtures!$B$36)
   ),
   COLUMNS($D64:CJ64)
  )
 ),"")</f>
        <v/>
      </c>
      <c r="CK64" s="672" t="str">
        <f t="array" aca="1" ref="CK64" ca="1">IFERROR(
 INDEX(FixtureInstCosts,
  SMALL(
   IF(
    FixtureInclude="x",
    ROW(FixtureInstCosts)-ROW(Fixtures!$B$36)
   ),
   COLUMNS($D64:CK64)
  )
 ),"")</f>
        <v/>
      </c>
      <c r="CL64" s="672" t="str">
        <f t="array" aca="1" ref="CL64" ca="1">IFERROR(
 INDEX(FixtureInstCosts,
  SMALL(
   IF(
    FixtureInclude="x",
    ROW(FixtureInstCosts)-ROW(Fixtures!$B$36)
   ),
   COLUMNS($D64:CL64)
  )
 ),"")</f>
        <v/>
      </c>
      <c r="CM64" s="672" t="str">
        <f t="array" aca="1" ref="CM64" ca="1">IFERROR(
 INDEX(FixtureInstCosts,
  SMALL(
   IF(
    FixtureInclude="x",
    ROW(FixtureInstCosts)-ROW(Fixtures!$B$36)
   ),
   COLUMNS($D64:CM64)
  )
 ),"")</f>
        <v/>
      </c>
      <c r="CN64" s="672" t="str">
        <f t="array" aca="1" ref="CN64" ca="1">IFERROR(
 INDEX(FixtureInstCosts,
  SMALL(
   IF(
    FixtureInclude="x",
    ROW(FixtureInstCosts)-ROW(Fixtures!$B$36)
   ),
   COLUMNS($D64:CN64)
  )
 ),"")</f>
        <v/>
      </c>
      <c r="CO64" s="672" t="str">
        <f t="array" aca="1" ref="CO64" ca="1">IFERROR(
 INDEX(FixtureInstCosts,
  SMALL(
   IF(
    FixtureInclude="x",
    ROW(FixtureInstCosts)-ROW(Fixtures!$B$36)
   ),
   COLUMNS($D64:CO64)
  )
 ),"")</f>
        <v/>
      </c>
      <c r="CP64" s="672" t="str">
        <f t="array" aca="1" ref="CP64" ca="1">IFERROR(
 INDEX(FixtureInstCosts,
  SMALL(
   IF(
    FixtureInclude="x",
    ROW(FixtureInstCosts)-ROW(Fixtures!$B$36)
   ),
   COLUMNS($D64:CP64)
  )
 ),"")</f>
        <v/>
      </c>
      <c r="CQ64" s="672" t="str">
        <f t="array" aca="1" ref="CQ64" ca="1">IFERROR(
 INDEX(FixtureInstCosts,
  SMALL(
   IF(
    FixtureInclude="x",
    ROW(FixtureInstCosts)-ROW(Fixtures!$B$36)
   ),
   COLUMNS($D64:CQ64)
  )
 ),"")</f>
        <v/>
      </c>
      <c r="CR64" s="672" t="str">
        <f t="array" aca="1" ref="CR64" ca="1">IFERROR(
 INDEX(FixtureInstCosts,
  SMALL(
   IF(
    FixtureInclude="x",
    ROW(FixtureInstCosts)-ROW(Fixtures!$B$36)
   ),
   COLUMNS($D64:CR64)
  )
 ),"")</f>
        <v/>
      </c>
      <c r="CS64" s="672" t="str">
        <f t="array" aca="1" ref="CS64" ca="1">IFERROR(
 INDEX(FixtureInstCosts,
  SMALL(
   IF(
    FixtureInclude="x",
    ROW(FixtureInstCosts)-ROW(Fixtures!$B$36)
   ),
   COLUMNS($D64:CS64)
  )
 ),"")</f>
        <v/>
      </c>
      <c r="CT64" s="672" t="str">
        <f t="array" aca="1" ref="CT64" ca="1">IFERROR(
 INDEX(FixtureInstCosts,
  SMALL(
   IF(
    FixtureInclude="x",
    ROW(FixtureInstCosts)-ROW(Fixtures!$B$36)
   ),
   COLUMNS($D64:CT64)
  )
 ),"")</f>
        <v/>
      </c>
      <c r="CU64" s="672" t="str">
        <f t="array" aca="1" ref="CU64" ca="1">IFERROR(
 INDEX(FixtureInstCosts,
  SMALL(
   IF(
    FixtureInclude="x",
    ROW(FixtureInstCosts)-ROW(Fixtures!$B$36)
   ),
   COLUMNS($D64:CU64)
  )
 ),"")</f>
        <v/>
      </c>
      <c r="CV64" s="672" t="str">
        <f t="array" aca="1" ref="CV64" ca="1">IFERROR(
 INDEX(FixtureInstCosts,
  SMALL(
   IF(
    FixtureInclude="x",
    ROW(FixtureInstCosts)-ROW(Fixtures!$B$36)
   ),
   COLUMNS($D64:CV64)
  )
 ),"")</f>
        <v/>
      </c>
      <c r="CW64" s="672" t="str">
        <f t="array" aca="1" ref="CW64" ca="1">IFERROR(
 INDEX(FixtureInstCosts,
  SMALL(
   IF(
    FixtureInclude="x",
    ROW(FixtureInstCosts)-ROW(Fixtures!$B$36)
   ),
   COLUMNS($D64:CW64)
  )
 ),"")</f>
        <v/>
      </c>
      <c r="CX64" s="672" t="str">
        <f t="array" aca="1" ref="CX64" ca="1">IFERROR(
 INDEX(FixtureInstCosts,
  SMALL(
   IF(
    FixtureInclude="x",
    ROW(FixtureInstCosts)-ROW(Fixtures!$B$36)
   ),
   COLUMNS($D64:CX64)
  )
 ),"")</f>
        <v/>
      </c>
      <c r="CY64" s="672" t="str">
        <f t="array" aca="1" ref="CY64" ca="1">IFERROR(
 INDEX(FixtureInstCosts,
  SMALL(
   IF(
    FixtureInclude="x",
    ROW(FixtureInstCosts)-ROW(Fixtures!$B$36)
   ),
   COLUMNS($D64:CY64)
  )
 ),"")</f>
        <v/>
      </c>
      <c r="CZ64" s="672" t="str">
        <f t="array" aca="1" ref="CZ64" ca="1">IFERROR(
 INDEX(FixtureInstCosts,
  SMALL(
   IF(
    FixtureInclude="x",
    ROW(FixtureInstCosts)-ROW(Fixtures!$B$36)
   ),
   COLUMNS($D64:CZ64)
  )
 ),"")</f>
        <v/>
      </c>
      <c r="DA64" s="672" t="str">
        <f t="array" aca="1" ref="DA64" ca="1">IFERROR(
 INDEX(FixtureInstCosts,
  SMALL(
   IF(
    FixtureInclude="x",
    ROW(FixtureInstCosts)-ROW(Fixtures!$B$36)
   ),
   COLUMNS($D64:DA64)
  )
 ),"")</f>
        <v/>
      </c>
      <c r="DB64" s="672" t="str">
        <f t="array" aca="1" ref="DB64" ca="1">IFERROR(
 INDEX(FixtureInstCosts,
  SMALL(
   IF(
    FixtureInclude="x",
    ROW(FixtureInstCosts)-ROW(Fixtures!$B$36)
   ),
   COLUMNS($D64:DB64)
  )
 ),"")</f>
        <v/>
      </c>
      <c r="DC64" s="672" t="str">
        <f t="array" aca="1" ref="DC64" ca="1">IFERROR(
 INDEX(FixtureInstCosts,
  SMALL(
   IF(
    FixtureInclude="x",
    ROW(FixtureInstCosts)-ROW(Fixtures!$B$36)
   ),
   COLUMNS($D64:DC64)
  )
 ),"")</f>
        <v/>
      </c>
      <c r="DD64" s="672" t="str">
        <f t="array" aca="1" ref="DD64" ca="1">IFERROR(
 INDEX(FixtureInstCosts,
  SMALL(
   IF(
    FixtureInclude="x",
    ROW(FixtureInstCosts)-ROW(Fixtures!$B$36)
   ),
   COLUMNS($D64:DD64)
  )
 ),"")</f>
        <v/>
      </c>
      <c r="DE64" s="672" t="str">
        <f t="array" aca="1" ref="DE64" ca="1">IFERROR(
 INDEX(FixtureInstCosts,
  SMALL(
   IF(
    FixtureInclude="x",
    ROW(FixtureInstCosts)-ROW(Fixtures!$B$36)
   ),
   COLUMNS($D64:DE64)
  )
 ),"")</f>
        <v/>
      </c>
      <c r="DF64" s="672" t="str">
        <f t="array" aca="1" ref="DF64" ca="1">IFERROR(
 INDEX(FixtureInstCosts,
  SMALL(
   IF(
    FixtureInclude="x",
    ROW(FixtureInstCosts)-ROW(Fixtures!$B$36)
   ),
   COLUMNS($D64:DF64)
  )
 ),"")</f>
        <v/>
      </c>
      <c r="DG64" s="672" t="str">
        <f t="array" aca="1" ref="DG64" ca="1">IFERROR(
 INDEX(FixtureInstCosts,
  SMALL(
   IF(
    FixtureInclude="x",
    ROW(FixtureInstCosts)-ROW(Fixtures!$B$36)
   ),
   COLUMNS($D64:DG64)
  )
 ),"")</f>
        <v/>
      </c>
      <c r="DH64" s="672" t="str">
        <f t="array" aca="1" ref="DH64" ca="1">IFERROR(
 INDEX(FixtureInstCosts,
  SMALL(
   IF(
    FixtureInclude="x",
    ROW(FixtureInstCosts)-ROW(Fixtures!$B$36)
   ),
   COLUMNS($D64:DH64)
  )
 ),"")</f>
        <v/>
      </c>
    </row>
    <row r="65" spans="1:112">
      <c r="B65" s="565" t="str">
        <f>Fixtures!E25</f>
        <v>One-time Rebate or Subsidy ($/fixture)</v>
      </c>
      <c r="C65" s="672">
        <f>Fixtures!F25</f>
        <v>0</v>
      </c>
      <c r="D65" s="672">
        <f t="array" aca="1" ref="D65" ca="1">IFERROR(
 INDEX(FixtureRebCosts,
  SMALL(
   IF(
    FixtureInclude="x",
    ROW(FixtureRebCosts)-ROW(Fixtures!$B$36)
   ),
   COLUMNS($D65:D65)
  )
 ),"")</f>
        <v>0</v>
      </c>
      <c r="E65" s="672" t="str">
        <f t="array" aca="1" ref="E65" ca="1">IFERROR(
 INDEX(FixtureRebCosts,
  SMALL(
   IF(
    FixtureInclude="x",
    ROW(FixtureRebCosts)-ROW(Fixtures!$B$36)
   ),
   COLUMNS($D65:E65)
  )
 ),"")</f>
        <v/>
      </c>
      <c r="F65" s="672" t="str">
        <f t="array" aca="1" ref="F65" ca="1">IFERROR(
 INDEX(FixtureRebCosts,
  SMALL(
   IF(
    FixtureInclude="x",
    ROW(FixtureRebCosts)-ROW(Fixtures!$B$36)
   ),
   COLUMNS($D65:F65)
  )
 ),"")</f>
        <v/>
      </c>
      <c r="G65" s="672" t="str">
        <f t="array" aca="1" ref="G65" ca="1">IFERROR(
 INDEX(FixtureRebCosts,
  SMALL(
   IF(
    FixtureInclude="x",
    ROW(FixtureRebCosts)-ROW(Fixtures!$B$36)
   ),
   COLUMNS($D65:G65)
  )
 ),"")</f>
        <v/>
      </c>
      <c r="H65" s="672" t="str">
        <f t="array" aca="1" ref="H65" ca="1">IFERROR(
 INDEX(FixtureRebCosts,
  SMALL(
   IF(
    FixtureInclude="x",
    ROW(FixtureRebCosts)-ROW(Fixtures!$B$36)
   ),
   COLUMNS($D65:H65)
  )
 ),"")</f>
        <v/>
      </c>
      <c r="I65" s="672" t="str">
        <f t="array" aca="1" ref="I65" ca="1">IFERROR(
 INDEX(FixtureRebCosts,
  SMALL(
   IF(
    FixtureInclude="x",
    ROW(FixtureRebCosts)-ROW(Fixtures!$B$36)
   ),
   COLUMNS($D65:I65)
  )
 ),"")</f>
        <v/>
      </c>
      <c r="J65" s="672" t="str">
        <f t="array" aca="1" ref="J65" ca="1">IFERROR(
 INDEX(FixtureRebCosts,
  SMALL(
   IF(
    FixtureInclude="x",
    ROW(FixtureRebCosts)-ROW(Fixtures!$B$36)
   ),
   COLUMNS($D65:J65)
  )
 ),"")</f>
        <v/>
      </c>
      <c r="K65" s="672" t="str">
        <f t="array" aca="1" ref="K65" ca="1">IFERROR(
 INDEX(FixtureRebCosts,
  SMALL(
   IF(
    FixtureInclude="x",
    ROW(FixtureRebCosts)-ROW(Fixtures!$B$36)
   ),
   COLUMNS($D65:K65)
  )
 ),"")</f>
        <v/>
      </c>
      <c r="L65" s="672" t="str">
        <f t="array" aca="1" ref="L65" ca="1">IFERROR(
 INDEX(FixtureRebCosts,
  SMALL(
   IF(
    FixtureInclude="x",
    ROW(FixtureRebCosts)-ROW(Fixtures!$B$36)
   ),
   COLUMNS($D65:L65)
  )
 ),"")</f>
        <v/>
      </c>
      <c r="M65" s="672" t="str">
        <f t="array" aca="1" ref="M65" ca="1">IFERROR(
 INDEX(FixtureRebCosts,
  SMALL(
   IF(
    FixtureInclude="x",
    ROW(FixtureRebCosts)-ROW(Fixtures!$B$36)
   ),
   COLUMNS($D65:M65)
  )
 ),"")</f>
        <v/>
      </c>
      <c r="N65" s="672" t="str">
        <f t="array" aca="1" ref="N65" ca="1">IFERROR(
 INDEX(FixtureRebCosts,
  SMALL(
   IF(
    FixtureInclude="x",
    ROW(FixtureRebCosts)-ROW(Fixtures!$B$36)
   ),
   COLUMNS($D65:N65)
  )
 ),"")</f>
        <v/>
      </c>
      <c r="O65" s="672" t="str">
        <f t="array" aca="1" ref="O65" ca="1">IFERROR(
 INDEX(FixtureRebCosts,
  SMALL(
   IF(
    FixtureInclude="x",
    ROW(FixtureRebCosts)-ROW(Fixtures!$B$36)
   ),
   COLUMNS($D65:O65)
  )
 ),"")</f>
        <v/>
      </c>
      <c r="P65" s="672" t="str">
        <f t="array" aca="1" ref="P65" ca="1">IFERROR(
 INDEX(FixtureRebCosts,
  SMALL(
   IF(
    FixtureInclude="x",
    ROW(FixtureRebCosts)-ROW(Fixtures!$B$36)
   ),
   COLUMNS($D65:P65)
  )
 ),"")</f>
        <v/>
      </c>
      <c r="Q65" s="672" t="str">
        <f t="array" aca="1" ref="Q65" ca="1">IFERROR(
 INDEX(FixtureRebCosts,
  SMALL(
   IF(
    FixtureInclude="x",
    ROW(FixtureRebCosts)-ROW(Fixtures!$B$36)
   ),
   COLUMNS($D65:Q65)
  )
 ),"")</f>
        <v/>
      </c>
      <c r="R65" s="672" t="str">
        <f t="array" aca="1" ref="R65" ca="1">IFERROR(
 INDEX(FixtureRebCosts,
  SMALL(
   IF(
    FixtureInclude="x",
    ROW(FixtureRebCosts)-ROW(Fixtures!$B$36)
   ),
   COLUMNS($D65:R65)
  )
 ),"")</f>
        <v/>
      </c>
      <c r="S65" s="672" t="str">
        <f t="array" aca="1" ref="S65" ca="1">IFERROR(
 INDEX(FixtureRebCosts,
  SMALL(
   IF(
    FixtureInclude="x",
    ROW(FixtureRebCosts)-ROW(Fixtures!$B$36)
   ),
   COLUMNS($D65:S65)
  )
 ),"")</f>
        <v/>
      </c>
      <c r="T65" s="672" t="str">
        <f t="array" aca="1" ref="T65" ca="1">IFERROR(
 INDEX(FixtureRebCosts,
  SMALL(
   IF(
    FixtureInclude="x",
    ROW(FixtureRebCosts)-ROW(Fixtures!$B$36)
   ),
   COLUMNS($D65:T65)
  )
 ),"")</f>
        <v/>
      </c>
      <c r="U65" s="672" t="str">
        <f t="array" aca="1" ref="U65" ca="1">IFERROR(
 INDEX(FixtureRebCosts,
  SMALL(
   IF(
    FixtureInclude="x",
    ROW(FixtureRebCosts)-ROW(Fixtures!$B$36)
   ),
   COLUMNS($D65:U65)
  )
 ),"")</f>
        <v/>
      </c>
      <c r="V65" s="672" t="str">
        <f t="array" aca="1" ref="V65" ca="1">IFERROR(
 INDEX(FixtureRebCosts,
  SMALL(
   IF(
    FixtureInclude="x",
    ROW(FixtureRebCosts)-ROW(Fixtures!$B$36)
   ),
   COLUMNS($D65:V65)
  )
 ),"")</f>
        <v/>
      </c>
      <c r="W65" s="672" t="str">
        <f t="array" aca="1" ref="W65" ca="1">IFERROR(
 INDEX(FixtureRebCosts,
  SMALL(
   IF(
    FixtureInclude="x",
    ROW(FixtureRebCosts)-ROW(Fixtures!$B$36)
   ),
   COLUMNS($D65:W65)
  )
 ),"")</f>
        <v/>
      </c>
      <c r="X65" s="672" t="str">
        <f t="array" aca="1" ref="X65" ca="1">IFERROR(
 INDEX(FixtureRebCosts,
  SMALL(
   IF(
    FixtureInclude="x",
    ROW(FixtureRebCosts)-ROW(Fixtures!$B$36)
   ),
   COLUMNS($D65:X65)
  )
 ),"")</f>
        <v/>
      </c>
      <c r="Y65" s="672" t="str">
        <f t="array" aca="1" ref="Y65" ca="1">IFERROR(
 INDEX(FixtureRebCosts,
  SMALL(
   IF(
    FixtureInclude="x",
    ROW(FixtureRebCosts)-ROW(Fixtures!$B$36)
   ),
   COLUMNS($D65:Y65)
  )
 ),"")</f>
        <v/>
      </c>
      <c r="Z65" s="672" t="str">
        <f t="array" aca="1" ref="Z65" ca="1">IFERROR(
 INDEX(FixtureRebCosts,
  SMALL(
   IF(
    FixtureInclude="x",
    ROW(FixtureRebCosts)-ROW(Fixtures!$B$36)
   ),
   COLUMNS($D65:Z65)
  )
 ),"")</f>
        <v/>
      </c>
      <c r="AA65" s="672" t="str">
        <f t="array" aca="1" ref="AA65" ca="1">IFERROR(
 INDEX(FixtureRebCosts,
  SMALL(
   IF(
    FixtureInclude="x",
    ROW(FixtureRebCosts)-ROW(Fixtures!$B$36)
   ),
   COLUMNS($D65:AA65)
  )
 ),"")</f>
        <v/>
      </c>
      <c r="AB65" s="672" t="str">
        <f t="array" aca="1" ref="AB65" ca="1">IFERROR(
 INDEX(FixtureRebCosts,
  SMALL(
   IF(
    FixtureInclude="x",
    ROW(FixtureRebCosts)-ROW(Fixtures!$B$36)
   ),
   COLUMNS($D65:AB65)
  )
 ),"")</f>
        <v/>
      </c>
      <c r="AC65" s="672" t="str">
        <f t="array" aca="1" ref="AC65" ca="1">IFERROR(
 INDEX(FixtureRebCosts,
  SMALL(
   IF(
    FixtureInclude="x",
    ROW(FixtureRebCosts)-ROW(Fixtures!$B$36)
   ),
   COLUMNS($D65:AC65)
  )
 ),"")</f>
        <v/>
      </c>
      <c r="AD65" s="672" t="str">
        <f t="array" aca="1" ref="AD65" ca="1">IFERROR(
 INDEX(FixtureRebCosts,
  SMALL(
   IF(
    FixtureInclude="x",
    ROW(FixtureRebCosts)-ROW(Fixtures!$B$36)
   ),
   COLUMNS($D65:AD65)
  )
 ),"")</f>
        <v/>
      </c>
      <c r="AE65" s="672" t="str">
        <f t="array" aca="1" ref="AE65" ca="1">IFERROR(
 INDEX(FixtureRebCosts,
  SMALL(
   IF(
    FixtureInclude="x",
    ROW(FixtureRebCosts)-ROW(Fixtures!$B$36)
   ),
   COLUMNS($D65:AE65)
  )
 ),"")</f>
        <v/>
      </c>
      <c r="AF65" s="672" t="str">
        <f t="array" aca="1" ref="AF65" ca="1">IFERROR(
 INDEX(FixtureRebCosts,
  SMALL(
   IF(
    FixtureInclude="x",
    ROW(FixtureRebCosts)-ROW(Fixtures!$B$36)
   ),
   COLUMNS($D65:AF65)
  )
 ),"")</f>
        <v/>
      </c>
      <c r="AG65" s="672" t="str">
        <f t="array" aca="1" ref="AG65" ca="1">IFERROR(
 INDEX(FixtureRebCosts,
  SMALL(
   IF(
    FixtureInclude="x",
    ROW(FixtureRebCosts)-ROW(Fixtures!$B$36)
   ),
   COLUMNS($D65:AG65)
  )
 ),"")</f>
        <v/>
      </c>
      <c r="AH65" s="672" t="str">
        <f t="array" aca="1" ref="AH65" ca="1">IFERROR(
 INDEX(FixtureRebCosts,
  SMALL(
   IF(
    FixtureInclude="x",
    ROW(FixtureRebCosts)-ROW(Fixtures!$B$36)
   ),
   COLUMNS($D65:AH65)
  )
 ),"")</f>
        <v/>
      </c>
      <c r="AI65" s="672" t="str">
        <f t="array" aca="1" ref="AI65" ca="1">IFERROR(
 INDEX(FixtureRebCosts,
  SMALL(
   IF(
    FixtureInclude="x",
    ROW(FixtureRebCosts)-ROW(Fixtures!$B$36)
   ),
   COLUMNS($D65:AI65)
  )
 ),"")</f>
        <v/>
      </c>
      <c r="AJ65" s="672" t="str">
        <f t="array" aca="1" ref="AJ65" ca="1">IFERROR(
 INDEX(FixtureRebCosts,
  SMALL(
   IF(
    FixtureInclude="x",
    ROW(FixtureRebCosts)-ROW(Fixtures!$B$36)
   ),
   COLUMNS($D65:AJ65)
  )
 ),"")</f>
        <v/>
      </c>
      <c r="AK65" s="672" t="str">
        <f t="array" aca="1" ref="AK65" ca="1">IFERROR(
 INDEX(FixtureRebCosts,
  SMALL(
   IF(
    FixtureInclude="x",
    ROW(FixtureRebCosts)-ROW(Fixtures!$B$36)
   ),
   COLUMNS($D65:AK65)
  )
 ),"")</f>
        <v/>
      </c>
      <c r="AL65" s="672" t="str">
        <f t="array" aca="1" ref="AL65" ca="1">IFERROR(
 INDEX(FixtureRebCosts,
  SMALL(
   IF(
    FixtureInclude="x",
    ROW(FixtureRebCosts)-ROW(Fixtures!$B$36)
   ),
   COLUMNS($D65:AL65)
  )
 ),"")</f>
        <v/>
      </c>
      <c r="AM65" s="672" t="str">
        <f t="array" aca="1" ref="AM65" ca="1">IFERROR(
 INDEX(FixtureRebCosts,
  SMALL(
   IF(
    FixtureInclude="x",
    ROW(FixtureRebCosts)-ROW(Fixtures!$B$36)
   ),
   COLUMNS($D65:AM65)
  )
 ),"")</f>
        <v/>
      </c>
      <c r="AN65" s="672" t="str">
        <f t="array" aca="1" ref="AN65" ca="1">IFERROR(
 INDEX(FixtureRebCosts,
  SMALL(
   IF(
    FixtureInclude="x",
    ROW(FixtureRebCosts)-ROW(Fixtures!$B$36)
   ),
   COLUMNS($D65:AN65)
  )
 ),"")</f>
        <v/>
      </c>
      <c r="AO65" s="672" t="str">
        <f t="array" aca="1" ref="AO65" ca="1">IFERROR(
 INDEX(FixtureRebCosts,
  SMALL(
   IF(
    FixtureInclude="x",
    ROW(FixtureRebCosts)-ROW(Fixtures!$B$36)
   ),
   COLUMNS($D65:AO65)
  )
 ),"")</f>
        <v/>
      </c>
      <c r="AP65" s="672" t="str">
        <f t="array" aca="1" ref="AP65" ca="1">IFERROR(
 INDEX(FixtureRebCosts,
  SMALL(
   IF(
    FixtureInclude="x",
    ROW(FixtureRebCosts)-ROW(Fixtures!$B$36)
   ),
   COLUMNS($D65:AP65)
  )
 ),"")</f>
        <v/>
      </c>
      <c r="AQ65" s="672" t="str">
        <f t="array" aca="1" ref="AQ65" ca="1">IFERROR(
 INDEX(FixtureRebCosts,
  SMALL(
   IF(
    FixtureInclude="x",
    ROW(FixtureRebCosts)-ROW(Fixtures!$B$36)
   ),
   COLUMNS($D65:AQ65)
  )
 ),"")</f>
        <v/>
      </c>
      <c r="AR65" s="672" t="str">
        <f t="array" aca="1" ref="AR65" ca="1">IFERROR(
 INDEX(FixtureRebCosts,
  SMALL(
   IF(
    FixtureInclude="x",
    ROW(FixtureRebCosts)-ROW(Fixtures!$B$36)
   ),
   COLUMNS($D65:AR65)
  )
 ),"")</f>
        <v/>
      </c>
      <c r="AS65" s="672" t="str">
        <f t="array" aca="1" ref="AS65" ca="1">IFERROR(
 INDEX(FixtureRebCosts,
  SMALL(
   IF(
    FixtureInclude="x",
    ROW(FixtureRebCosts)-ROW(Fixtures!$B$36)
   ),
   COLUMNS($D65:AS65)
  )
 ),"")</f>
        <v/>
      </c>
      <c r="AT65" s="672" t="str">
        <f t="array" aca="1" ref="AT65" ca="1">IFERROR(
 INDEX(FixtureRebCosts,
  SMALL(
   IF(
    FixtureInclude="x",
    ROW(FixtureRebCosts)-ROW(Fixtures!$B$36)
   ),
   COLUMNS($D65:AT65)
  )
 ),"")</f>
        <v/>
      </c>
      <c r="AU65" s="672" t="str">
        <f t="array" aca="1" ref="AU65" ca="1">IFERROR(
 INDEX(FixtureRebCosts,
  SMALL(
   IF(
    FixtureInclude="x",
    ROW(FixtureRebCosts)-ROW(Fixtures!$B$36)
   ),
   COLUMNS($D65:AU65)
  )
 ),"")</f>
        <v/>
      </c>
      <c r="AV65" s="672" t="str">
        <f t="array" aca="1" ref="AV65" ca="1">IFERROR(
 INDEX(FixtureRebCosts,
  SMALL(
   IF(
    FixtureInclude="x",
    ROW(FixtureRebCosts)-ROW(Fixtures!$B$36)
   ),
   COLUMNS($D65:AV65)
  )
 ),"")</f>
        <v/>
      </c>
      <c r="AW65" s="672" t="str">
        <f t="array" aca="1" ref="AW65" ca="1">IFERROR(
 INDEX(FixtureRebCosts,
  SMALL(
   IF(
    FixtureInclude="x",
    ROW(FixtureRebCosts)-ROW(Fixtures!$B$36)
   ),
   COLUMNS($D65:AW65)
  )
 ),"")</f>
        <v/>
      </c>
      <c r="AX65" s="672" t="str">
        <f t="array" aca="1" ref="AX65" ca="1">IFERROR(
 INDEX(FixtureRebCosts,
  SMALL(
   IF(
    FixtureInclude="x",
    ROW(FixtureRebCosts)-ROW(Fixtures!$B$36)
   ),
   COLUMNS($D65:AX65)
  )
 ),"")</f>
        <v/>
      </c>
      <c r="AY65" s="672" t="str">
        <f t="array" aca="1" ref="AY65" ca="1">IFERROR(
 INDEX(FixtureRebCosts,
  SMALL(
   IF(
    FixtureInclude="x",
    ROW(FixtureRebCosts)-ROW(Fixtures!$B$36)
   ),
   COLUMNS($D65:AY65)
  )
 ),"")</f>
        <v/>
      </c>
      <c r="AZ65" s="672" t="str">
        <f t="array" aca="1" ref="AZ65" ca="1">IFERROR(
 INDEX(FixtureRebCosts,
  SMALL(
   IF(
    FixtureInclude="x",
    ROW(FixtureRebCosts)-ROW(Fixtures!$B$36)
   ),
   COLUMNS($D65:AZ65)
  )
 ),"")</f>
        <v/>
      </c>
      <c r="BA65" s="672" t="str">
        <f t="array" aca="1" ref="BA65" ca="1">IFERROR(
 INDEX(FixtureRebCosts,
  SMALL(
   IF(
    FixtureInclude="x",
    ROW(FixtureRebCosts)-ROW(Fixtures!$B$36)
   ),
   COLUMNS($D65:BA65)
  )
 ),"")</f>
        <v/>
      </c>
      <c r="BB65" s="672" t="str">
        <f t="array" aca="1" ref="BB65" ca="1">IFERROR(
 INDEX(FixtureRebCosts,
  SMALL(
   IF(
    FixtureInclude="x",
    ROW(FixtureRebCosts)-ROW(Fixtures!$B$36)
   ),
   COLUMNS($D65:BB65)
  )
 ),"")</f>
        <v/>
      </c>
      <c r="BC65" s="672" t="str">
        <f t="array" aca="1" ref="BC65" ca="1">IFERROR(
 INDEX(FixtureRebCosts,
  SMALL(
   IF(
    FixtureInclude="x",
    ROW(FixtureRebCosts)-ROW(Fixtures!$B$36)
   ),
   COLUMNS($D65:BC65)
  )
 ),"")</f>
        <v/>
      </c>
      <c r="BD65" s="672" t="str">
        <f t="array" aca="1" ref="BD65" ca="1">IFERROR(
 INDEX(FixtureRebCosts,
  SMALL(
   IF(
    FixtureInclude="x",
    ROW(FixtureRebCosts)-ROW(Fixtures!$B$36)
   ),
   COLUMNS($D65:BD65)
  )
 ),"")</f>
        <v/>
      </c>
      <c r="BE65" s="672" t="str">
        <f t="array" aca="1" ref="BE65" ca="1">IFERROR(
 INDEX(FixtureRebCosts,
  SMALL(
   IF(
    FixtureInclude="x",
    ROW(FixtureRebCosts)-ROW(Fixtures!$B$36)
   ),
   COLUMNS($D65:BE65)
  )
 ),"")</f>
        <v/>
      </c>
      <c r="BF65" s="672" t="str">
        <f t="array" aca="1" ref="BF65" ca="1">IFERROR(
 INDEX(FixtureRebCosts,
  SMALL(
   IF(
    FixtureInclude="x",
    ROW(FixtureRebCosts)-ROW(Fixtures!$B$36)
   ),
   COLUMNS($D65:BF65)
  )
 ),"")</f>
        <v/>
      </c>
      <c r="BG65" s="672" t="str">
        <f t="array" aca="1" ref="BG65" ca="1">IFERROR(
 INDEX(FixtureRebCosts,
  SMALL(
   IF(
    FixtureInclude="x",
    ROW(FixtureRebCosts)-ROW(Fixtures!$B$36)
   ),
   COLUMNS($D65:BG65)
  )
 ),"")</f>
        <v/>
      </c>
      <c r="BH65" s="672" t="str">
        <f t="array" aca="1" ref="BH65" ca="1">IFERROR(
 INDEX(FixtureRebCosts,
  SMALL(
   IF(
    FixtureInclude="x",
    ROW(FixtureRebCosts)-ROW(Fixtures!$B$36)
   ),
   COLUMNS($D65:BH65)
  )
 ),"")</f>
        <v/>
      </c>
      <c r="BI65" s="672" t="str">
        <f t="array" aca="1" ref="BI65" ca="1">IFERROR(
 INDEX(FixtureRebCosts,
  SMALL(
   IF(
    FixtureInclude="x",
    ROW(FixtureRebCosts)-ROW(Fixtures!$B$36)
   ),
   COLUMNS($D65:BI65)
  )
 ),"")</f>
        <v/>
      </c>
      <c r="BJ65" s="672" t="str">
        <f t="array" aca="1" ref="BJ65" ca="1">IFERROR(
 INDEX(FixtureRebCosts,
  SMALL(
   IF(
    FixtureInclude="x",
    ROW(FixtureRebCosts)-ROW(Fixtures!$B$36)
   ),
   COLUMNS($D65:BJ65)
  )
 ),"")</f>
        <v/>
      </c>
      <c r="BK65" s="672" t="str">
        <f t="array" aca="1" ref="BK65" ca="1">IFERROR(
 INDEX(FixtureRebCosts,
  SMALL(
   IF(
    FixtureInclude="x",
    ROW(FixtureRebCosts)-ROW(Fixtures!$B$36)
   ),
   COLUMNS($D65:BK65)
  )
 ),"")</f>
        <v/>
      </c>
      <c r="BL65" s="672" t="str">
        <f t="array" aca="1" ref="BL65" ca="1">IFERROR(
 INDEX(FixtureRebCosts,
  SMALL(
   IF(
    FixtureInclude="x",
    ROW(FixtureRebCosts)-ROW(Fixtures!$B$36)
   ),
   COLUMNS($D65:BL65)
  )
 ),"")</f>
        <v/>
      </c>
      <c r="BM65" s="672" t="str">
        <f t="array" aca="1" ref="BM65" ca="1">IFERROR(
 INDEX(FixtureRebCosts,
  SMALL(
   IF(
    FixtureInclude="x",
    ROW(FixtureRebCosts)-ROW(Fixtures!$B$36)
   ),
   COLUMNS($D65:BM65)
  )
 ),"")</f>
        <v/>
      </c>
      <c r="BN65" s="672" t="str">
        <f t="array" aca="1" ref="BN65" ca="1">IFERROR(
 INDEX(FixtureRebCosts,
  SMALL(
   IF(
    FixtureInclude="x",
    ROW(FixtureRebCosts)-ROW(Fixtures!$B$36)
   ),
   COLUMNS($D65:BN65)
  )
 ),"")</f>
        <v/>
      </c>
      <c r="BO65" s="672" t="str">
        <f t="array" aca="1" ref="BO65" ca="1">IFERROR(
 INDEX(FixtureRebCosts,
  SMALL(
   IF(
    FixtureInclude="x",
    ROW(FixtureRebCosts)-ROW(Fixtures!$B$36)
   ),
   COLUMNS($D65:BO65)
  )
 ),"")</f>
        <v/>
      </c>
      <c r="BP65" s="672" t="str">
        <f t="array" aca="1" ref="BP65" ca="1">IFERROR(
 INDEX(FixtureRebCosts,
  SMALL(
   IF(
    FixtureInclude="x",
    ROW(FixtureRebCosts)-ROW(Fixtures!$B$36)
   ),
   COLUMNS($D65:BP65)
  )
 ),"")</f>
        <v/>
      </c>
      <c r="BQ65" s="672" t="str">
        <f t="array" aca="1" ref="BQ65" ca="1">IFERROR(
 INDEX(FixtureRebCosts,
  SMALL(
   IF(
    FixtureInclude="x",
    ROW(FixtureRebCosts)-ROW(Fixtures!$B$36)
   ),
   COLUMNS($D65:BQ65)
  )
 ),"")</f>
        <v/>
      </c>
      <c r="BR65" s="672" t="str">
        <f t="array" aca="1" ref="BR65" ca="1">IFERROR(
 INDEX(FixtureRebCosts,
  SMALL(
   IF(
    FixtureInclude="x",
    ROW(FixtureRebCosts)-ROW(Fixtures!$B$36)
   ),
   COLUMNS($D65:BR65)
  )
 ),"")</f>
        <v/>
      </c>
      <c r="BS65" s="672" t="str">
        <f t="array" aca="1" ref="BS65" ca="1">IFERROR(
 INDEX(FixtureRebCosts,
  SMALL(
   IF(
    FixtureInclude="x",
    ROW(FixtureRebCosts)-ROW(Fixtures!$B$36)
   ),
   COLUMNS($D65:BS65)
  )
 ),"")</f>
        <v/>
      </c>
      <c r="BT65" s="672" t="str">
        <f t="array" aca="1" ref="BT65" ca="1">IFERROR(
 INDEX(FixtureRebCosts,
  SMALL(
   IF(
    FixtureInclude="x",
    ROW(FixtureRebCosts)-ROW(Fixtures!$B$36)
   ),
   COLUMNS($D65:BT65)
  )
 ),"")</f>
        <v/>
      </c>
      <c r="BU65" s="672" t="str">
        <f t="array" aca="1" ref="BU65" ca="1">IFERROR(
 INDEX(FixtureRebCosts,
  SMALL(
   IF(
    FixtureInclude="x",
    ROW(FixtureRebCosts)-ROW(Fixtures!$B$36)
   ),
   COLUMNS($D65:BU65)
  )
 ),"")</f>
        <v/>
      </c>
      <c r="BV65" s="672" t="str">
        <f t="array" aca="1" ref="BV65" ca="1">IFERROR(
 INDEX(FixtureRebCosts,
  SMALL(
   IF(
    FixtureInclude="x",
    ROW(FixtureRebCosts)-ROW(Fixtures!$B$36)
   ),
   COLUMNS($D65:BV65)
  )
 ),"")</f>
        <v/>
      </c>
      <c r="BW65" s="672" t="str">
        <f t="array" aca="1" ref="BW65" ca="1">IFERROR(
 INDEX(FixtureRebCosts,
  SMALL(
   IF(
    FixtureInclude="x",
    ROW(FixtureRebCosts)-ROW(Fixtures!$B$36)
   ),
   COLUMNS($D65:BW65)
  )
 ),"")</f>
        <v/>
      </c>
      <c r="BX65" s="672" t="str">
        <f t="array" aca="1" ref="BX65" ca="1">IFERROR(
 INDEX(FixtureRebCosts,
  SMALL(
   IF(
    FixtureInclude="x",
    ROW(FixtureRebCosts)-ROW(Fixtures!$B$36)
   ),
   COLUMNS($D65:BX65)
  )
 ),"")</f>
        <v/>
      </c>
      <c r="BY65" s="672" t="str">
        <f t="array" aca="1" ref="BY65" ca="1">IFERROR(
 INDEX(FixtureRebCosts,
  SMALL(
   IF(
    FixtureInclude="x",
    ROW(FixtureRebCosts)-ROW(Fixtures!$B$36)
   ),
   COLUMNS($D65:BY65)
  )
 ),"")</f>
        <v/>
      </c>
      <c r="BZ65" s="672" t="str">
        <f t="array" aca="1" ref="BZ65" ca="1">IFERROR(
 INDEX(FixtureRebCosts,
  SMALL(
   IF(
    FixtureInclude="x",
    ROW(FixtureRebCosts)-ROW(Fixtures!$B$36)
   ),
   COLUMNS($D65:BZ65)
  )
 ),"")</f>
        <v/>
      </c>
      <c r="CA65" s="672" t="str">
        <f t="array" aca="1" ref="CA65" ca="1">IFERROR(
 INDEX(FixtureRebCosts,
  SMALL(
   IF(
    FixtureInclude="x",
    ROW(FixtureRebCosts)-ROW(Fixtures!$B$36)
   ),
   COLUMNS($D65:CA65)
  )
 ),"")</f>
        <v/>
      </c>
      <c r="CB65" s="672" t="str">
        <f t="array" aca="1" ref="CB65" ca="1">IFERROR(
 INDEX(FixtureRebCosts,
  SMALL(
   IF(
    FixtureInclude="x",
    ROW(FixtureRebCosts)-ROW(Fixtures!$B$36)
   ),
   COLUMNS($D65:CB65)
  )
 ),"")</f>
        <v/>
      </c>
      <c r="CC65" s="672" t="str">
        <f t="array" aca="1" ref="CC65" ca="1">IFERROR(
 INDEX(FixtureRebCosts,
  SMALL(
   IF(
    FixtureInclude="x",
    ROW(FixtureRebCosts)-ROW(Fixtures!$B$36)
   ),
   COLUMNS($D65:CC65)
  )
 ),"")</f>
        <v/>
      </c>
      <c r="CD65" s="672" t="str">
        <f t="array" aca="1" ref="CD65" ca="1">IFERROR(
 INDEX(FixtureRebCosts,
  SMALL(
   IF(
    FixtureInclude="x",
    ROW(FixtureRebCosts)-ROW(Fixtures!$B$36)
   ),
   COLUMNS($D65:CD65)
  )
 ),"")</f>
        <v/>
      </c>
      <c r="CE65" s="672" t="str">
        <f t="array" aca="1" ref="CE65" ca="1">IFERROR(
 INDEX(FixtureRebCosts,
  SMALL(
   IF(
    FixtureInclude="x",
    ROW(FixtureRebCosts)-ROW(Fixtures!$B$36)
   ),
   COLUMNS($D65:CE65)
  )
 ),"")</f>
        <v/>
      </c>
      <c r="CF65" s="672" t="str">
        <f t="array" aca="1" ref="CF65" ca="1">IFERROR(
 INDEX(FixtureRebCosts,
  SMALL(
   IF(
    FixtureInclude="x",
    ROW(FixtureRebCosts)-ROW(Fixtures!$B$36)
   ),
   COLUMNS($D65:CF65)
  )
 ),"")</f>
        <v/>
      </c>
      <c r="CG65" s="672" t="str">
        <f t="array" aca="1" ref="CG65" ca="1">IFERROR(
 INDEX(FixtureRebCosts,
  SMALL(
   IF(
    FixtureInclude="x",
    ROW(FixtureRebCosts)-ROW(Fixtures!$B$36)
   ),
   COLUMNS($D65:CG65)
  )
 ),"")</f>
        <v/>
      </c>
      <c r="CH65" s="672" t="str">
        <f t="array" aca="1" ref="CH65" ca="1">IFERROR(
 INDEX(FixtureRebCosts,
  SMALL(
   IF(
    FixtureInclude="x",
    ROW(FixtureRebCosts)-ROW(Fixtures!$B$36)
   ),
   COLUMNS($D65:CH65)
  )
 ),"")</f>
        <v/>
      </c>
      <c r="CI65" s="672" t="str">
        <f t="array" aca="1" ref="CI65" ca="1">IFERROR(
 INDEX(FixtureRebCosts,
  SMALL(
   IF(
    FixtureInclude="x",
    ROW(FixtureRebCosts)-ROW(Fixtures!$B$36)
   ),
   COLUMNS($D65:CI65)
  )
 ),"")</f>
        <v/>
      </c>
      <c r="CJ65" s="672" t="str">
        <f t="array" aca="1" ref="CJ65" ca="1">IFERROR(
 INDEX(FixtureRebCosts,
  SMALL(
   IF(
    FixtureInclude="x",
    ROW(FixtureRebCosts)-ROW(Fixtures!$B$36)
   ),
   COLUMNS($D65:CJ65)
  )
 ),"")</f>
        <v/>
      </c>
      <c r="CK65" s="672" t="str">
        <f t="array" aca="1" ref="CK65" ca="1">IFERROR(
 INDEX(FixtureRebCosts,
  SMALL(
   IF(
    FixtureInclude="x",
    ROW(FixtureRebCosts)-ROW(Fixtures!$B$36)
   ),
   COLUMNS($D65:CK65)
  )
 ),"")</f>
        <v/>
      </c>
      <c r="CL65" s="672" t="str">
        <f t="array" aca="1" ref="CL65" ca="1">IFERROR(
 INDEX(FixtureRebCosts,
  SMALL(
   IF(
    FixtureInclude="x",
    ROW(FixtureRebCosts)-ROW(Fixtures!$B$36)
   ),
   COLUMNS($D65:CL65)
  )
 ),"")</f>
        <v/>
      </c>
      <c r="CM65" s="672" t="str">
        <f t="array" aca="1" ref="CM65" ca="1">IFERROR(
 INDEX(FixtureRebCosts,
  SMALL(
   IF(
    FixtureInclude="x",
    ROW(FixtureRebCosts)-ROW(Fixtures!$B$36)
   ),
   COLUMNS($D65:CM65)
  )
 ),"")</f>
        <v/>
      </c>
      <c r="CN65" s="672" t="str">
        <f t="array" aca="1" ref="CN65" ca="1">IFERROR(
 INDEX(FixtureRebCosts,
  SMALL(
   IF(
    FixtureInclude="x",
    ROW(FixtureRebCosts)-ROW(Fixtures!$B$36)
   ),
   COLUMNS($D65:CN65)
  )
 ),"")</f>
        <v/>
      </c>
      <c r="CO65" s="672" t="str">
        <f t="array" aca="1" ref="CO65" ca="1">IFERROR(
 INDEX(FixtureRebCosts,
  SMALL(
   IF(
    FixtureInclude="x",
    ROW(FixtureRebCosts)-ROW(Fixtures!$B$36)
   ),
   COLUMNS($D65:CO65)
  )
 ),"")</f>
        <v/>
      </c>
      <c r="CP65" s="672" t="str">
        <f t="array" aca="1" ref="CP65" ca="1">IFERROR(
 INDEX(FixtureRebCosts,
  SMALL(
   IF(
    FixtureInclude="x",
    ROW(FixtureRebCosts)-ROW(Fixtures!$B$36)
   ),
   COLUMNS($D65:CP65)
  )
 ),"")</f>
        <v/>
      </c>
      <c r="CQ65" s="672" t="str">
        <f t="array" aca="1" ref="CQ65" ca="1">IFERROR(
 INDEX(FixtureRebCosts,
  SMALL(
   IF(
    FixtureInclude="x",
    ROW(FixtureRebCosts)-ROW(Fixtures!$B$36)
   ),
   COLUMNS($D65:CQ65)
  )
 ),"")</f>
        <v/>
      </c>
      <c r="CR65" s="672" t="str">
        <f t="array" aca="1" ref="CR65" ca="1">IFERROR(
 INDEX(FixtureRebCosts,
  SMALL(
   IF(
    FixtureInclude="x",
    ROW(FixtureRebCosts)-ROW(Fixtures!$B$36)
   ),
   COLUMNS($D65:CR65)
  )
 ),"")</f>
        <v/>
      </c>
      <c r="CS65" s="672" t="str">
        <f t="array" aca="1" ref="CS65" ca="1">IFERROR(
 INDEX(FixtureRebCosts,
  SMALL(
   IF(
    FixtureInclude="x",
    ROW(FixtureRebCosts)-ROW(Fixtures!$B$36)
   ),
   COLUMNS($D65:CS65)
  )
 ),"")</f>
        <v/>
      </c>
      <c r="CT65" s="672" t="str">
        <f t="array" aca="1" ref="CT65" ca="1">IFERROR(
 INDEX(FixtureRebCosts,
  SMALL(
   IF(
    FixtureInclude="x",
    ROW(FixtureRebCosts)-ROW(Fixtures!$B$36)
   ),
   COLUMNS($D65:CT65)
  )
 ),"")</f>
        <v/>
      </c>
      <c r="CU65" s="672" t="str">
        <f t="array" aca="1" ref="CU65" ca="1">IFERROR(
 INDEX(FixtureRebCosts,
  SMALL(
   IF(
    FixtureInclude="x",
    ROW(FixtureRebCosts)-ROW(Fixtures!$B$36)
   ),
   COLUMNS($D65:CU65)
  )
 ),"")</f>
        <v/>
      </c>
      <c r="CV65" s="672" t="str">
        <f t="array" aca="1" ref="CV65" ca="1">IFERROR(
 INDEX(FixtureRebCosts,
  SMALL(
   IF(
    FixtureInclude="x",
    ROW(FixtureRebCosts)-ROW(Fixtures!$B$36)
   ),
   COLUMNS($D65:CV65)
  )
 ),"")</f>
        <v/>
      </c>
      <c r="CW65" s="672" t="str">
        <f t="array" aca="1" ref="CW65" ca="1">IFERROR(
 INDEX(FixtureRebCosts,
  SMALL(
   IF(
    FixtureInclude="x",
    ROW(FixtureRebCosts)-ROW(Fixtures!$B$36)
   ),
   COLUMNS($D65:CW65)
  )
 ),"")</f>
        <v/>
      </c>
      <c r="CX65" s="672" t="str">
        <f t="array" aca="1" ref="CX65" ca="1">IFERROR(
 INDEX(FixtureRebCosts,
  SMALL(
   IF(
    FixtureInclude="x",
    ROW(FixtureRebCosts)-ROW(Fixtures!$B$36)
   ),
   COLUMNS($D65:CX65)
  )
 ),"")</f>
        <v/>
      </c>
      <c r="CY65" s="672" t="str">
        <f t="array" aca="1" ref="CY65" ca="1">IFERROR(
 INDEX(FixtureRebCosts,
  SMALL(
   IF(
    FixtureInclude="x",
    ROW(FixtureRebCosts)-ROW(Fixtures!$B$36)
   ),
   COLUMNS($D65:CY65)
  )
 ),"")</f>
        <v/>
      </c>
      <c r="CZ65" s="672" t="str">
        <f t="array" aca="1" ref="CZ65" ca="1">IFERROR(
 INDEX(FixtureRebCosts,
  SMALL(
   IF(
    FixtureInclude="x",
    ROW(FixtureRebCosts)-ROW(Fixtures!$B$36)
   ),
   COLUMNS($D65:CZ65)
  )
 ),"")</f>
        <v/>
      </c>
      <c r="DA65" s="672" t="str">
        <f t="array" aca="1" ref="DA65" ca="1">IFERROR(
 INDEX(FixtureRebCosts,
  SMALL(
   IF(
    FixtureInclude="x",
    ROW(FixtureRebCosts)-ROW(Fixtures!$B$36)
   ),
   COLUMNS($D65:DA65)
  )
 ),"")</f>
        <v/>
      </c>
      <c r="DB65" s="672" t="str">
        <f t="array" aca="1" ref="DB65" ca="1">IFERROR(
 INDEX(FixtureRebCosts,
  SMALL(
   IF(
    FixtureInclude="x",
    ROW(FixtureRebCosts)-ROW(Fixtures!$B$36)
   ),
   COLUMNS($D65:DB65)
  )
 ),"")</f>
        <v/>
      </c>
      <c r="DC65" s="672" t="str">
        <f t="array" aca="1" ref="DC65" ca="1">IFERROR(
 INDEX(FixtureRebCosts,
  SMALL(
   IF(
    FixtureInclude="x",
    ROW(FixtureRebCosts)-ROW(Fixtures!$B$36)
   ),
   COLUMNS($D65:DC65)
  )
 ),"")</f>
        <v/>
      </c>
      <c r="DD65" s="672" t="str">
        <f t="array" aca="1" ref="DD65" ca="1">IFERROR(
 INDEX(FixtureRebCosts,
  SMALL(
   IF(
    FixtureInclude="x",
    ROW(FixtureRebCosts)-ROW(Fixtures!$B$36)
   ),
   COLUMNS($D65:DD65)
  )
 ),"")</f>
        <v/>
      </c>
      <c r="DE65" s="672" t="str">
        <f t="array" aca="1" ref="DE65" ca="1">IFERROR(
 INDEX(FixtureRebCosts,
  SMALL(
   IF(
    FixtureInclude="x",
    ROW(FixtureRebCosts)-ROW(Fixtures!$B$36)
   ),
   COLUMNS($D65:DE65)
  )
 ),"")</f>
        <v/>
      </c>
      <c r="DF65" s="672" t="str">
        <f t="array" aca="1" ref="DF65" ca="1">IFERROR(
 INDEX(FixtureRebCosts,
  SMALL(
   IF(
    FixtureInclude="x",
    ROW(FixtureRebCosts)-ROW(Fixtures!$B$36)
   ),
   COLUMNS($D65:DF65)
  )
 ),"")</f>
        <v/>
      </c>
      <c r="DG65" s="672" t="str">
        <f t="array" aca="1" ref="DG65" ca="1">IFERROR(
 INDEX(FixtureRebCosts,
  SMALL(
   IF(
    FixtureInclude="x",
    ROW(FixtureRebCosts)-ROW(Fixtures!$B$36)
   ),
   COLUMNS($D65:DG65)
  )
 ),"")</f>
        <v/>
      </c>
      <c r="DH65" s="672" t="str">
        <f t="array" aca="1" ref="DH65" ca="1">IFERROR(
 INDEX(FixtureRebCosts,
  SMALL(
   IF(
    FixtureInclude="x",
    ROW(FixtureRebCosts)-ROW(Fixtures!$B$36)
   ),
   COLUMNS($D65:DH65)
  )
 ),"")</f>
        <v/>
      </c>
    </row>
    <row r="66" spans="1:112">
      <c r="B66" s="582" t="str">
        <f>Fixtures!E26</f>
        <v>Annual Maintenance Cost ($/year)</v>
      </c>
      <c r="C66" s="672">
        <f>Fixtures!F26</f>
        <v>25</v>
      </c>
      <c r="D66" s="672">
        <f t="array" aca="1" ref="D66" ca="1">IFERROR(
 INDEX(FixtureMaintCosts,
  SMALL(
   IF(
    FixtureInclude="x",
    ROW(FixtureMaintCosts)-ROW(Fixtures!$B$36)
   ),
   COLUMNS($D66:D66)
  )
 ),"")</f>
        <v>25</v>
      </c>
      <c r="E66" s="672" t="str">
        <f t="array" aca="1" ref="E66" ca="1">IFERROR(
 INDEX(FixtureMaintCosts,
  SMALL(
   IF(
    FixtureInclude="x",
    ROW(FixtureMaintCosts)-ROW(Fixtures!$B$36)
   ),
   COLUMNS($D66:E66)
  )
 ),"")</f>
        <v/>
      </c>
      <c r="F66" s="672" t="str">
        <f t="array" aca="1" ref="F66" ca="1">IFERROR(
 INDEX(FixtureMaintCosts,
  SMALL(
   IF(
    FixtureInclude="x",
    ROW(FixtureMaintCosts)-ROW(Fixtures!$B$36)
   ),
   COLUMNS($D66:F66)
  )
 ),"")</f>
        <v/>
      </c>
      <c r="G66" s="672" t="str">
        <f t="array" aca="1" ref="G66" ca="1">IFERROR(
 INDEX(FixtureMaintCosts,
  SMALL(
   IF(
    FixtureInclude="x",
    ROW(FixtureMaintCosts)-ROW(Fixtures!$B$36)
   ),
   COLUMNS($D66:G66)
  )
 ),"")</f>
        <v/>
      </c>
      <c r="H66" s="672" t="str">
        <f t="array" aca="1" ref="H66" ca="1">IFERROR(
 INDEX(FixtureMaintCosts,
  SMALL(
   IF(
    FixtureInclude="x",
    ROW(FixtureMaintCosts)-ROW(Fixtures!$B$36)
   ),
   COLUMNS($D66:H66)
  )
 ),"")</f>
        <v/>
      </c>
      <c r="I66" s="672" t="str">
        <f t="array" aca="1" ref="I66" ca="1">IFERROR(
 INDEX(FixtureMaintCosts,
  SMALL(
   IF(
    FixtureInclude="x",
    ROW(FixtureMaintCosts)-ROW(Fixtures!$B$36)
   ),
   COLUMNS($D66:I66)
  )
 ),"")</f>
        <v/>
      </c>
      <c r="J66" s="672" t="str">
        <f t="array" aca="1" ref="J66" ca="1">IFERROR(
 INDEX(FixtureMaintCosts,
  SMALL(
   IF(
    FixtureInclude="x",
    ROW(FixtureMaintCosts)-ROW(Fixtures!$B$36)
   ),
   COLUMNS($D66:J66)
  )
 ),"")</f>
        <v/>
      </c>
      <c r="K66" s="672" t="str">
        <f t="array" aca="1" ref="K66" ca="1">IFERROR(
 INDEX(FixtureMaintCosts,
  SMALL(
   IF(
    FixtureInclude="x",
    ROW(FixtureMaintCosts)-ROW(Fixtures!$B$36)
   ),
   COLUMNS($D66:K66)
  )
 ),"")</f>
        <v/>
      </c>
      <c r="L66" s="672" t="str">
        <f t="array" aca="1" ref="L66" ca="1">IFERROR(
 INDEX(FixtureMaintCosts,
  SMALL(
   IF(
    FixtureInclude="x",
    ROW(FixtureMaintCosts)-ROW(Fixtures!$B$36)
   ),
   COLUMNS($D66:L66)
  )
 ),"")</f>
        <v/>
      </c>
      <c r="M66" s="672" t="str">
        <f t="array" aca="1" ref="M66" ca="1">IFERROR(
 INDEX(FixtureMaintCosts,
  SMALL(
   IF(
    FixtureInclude="x",
    ROW(FixtureMaintCosts)-ROW(Fixtures!$B$36)
   ),
   COLUMNS($D66:M66)
  )
 ),"")</f>
        <v/>
      </c>
      <c r="N66" s="672" t="str">
        <f t="array" aca="1" ref="N66" ca="1">IFERROR(
 INDEX(FixtureMaintCosts,
  SMALL(
   IF(
    FixtureInclude="x",
    ROW(FixtureMaintCosts)-ROW(Fixtures!$B$36)
   ),
   COLUMNS($D66:N66)
  )
 ),"")</f>
        <v/>
      </c>
      <c r="O66" s="672" t="str">
        <f t="array" aca="1" ref="O66" ca="1">IFERROR(
 INDEX(FixtureMaintCosts,
  SMALL(
   IF(
    FixtureInclude="x",
    ROW(FixtureMaintCosts)-ROW(Fixtures!$B$36)
   ),
   COLUMNS($D66:O66)
  )
 ),"")</f>
        <v/>
      </c>
      <c r="P66" s="672" t="str">
        <f t="array" aca="1" ref="P66" ca="1">IFERROR(
 INDEX(FixtureMaintCosts,
  SMALL(
   IF(
    FixtureInclude="x",
    ROW(FixtureMaintCosts)-ROW(Fixtures!$B$36)
   ),
   COLUMNS($D66:P66)
  )
 ),"")</f>
        <v/>
      </c>
      <c r="Q66" s="672" t="str">
        <f t="array" aca="1" ref="Q66" ca="1">IFERROR(
 INDEX(FixtureMaintCosts,
  SMALL(
   IF(
    FixtureInclude="x",
    ROW(FixtureMaintCosts)-ROW(Fixtures!$B$36)
   ),
   COLUMNS($D66:Q66)
  )
 ),"")</f>
        <v/>
      </c>
      <c r="R66" s="672" t="str">
        <f t="array" aca="1" ref="R66" ca="1">IFERROR(
 INDEX(FixtureMaintCosts,
  SMALL(
   IF(
    FixtureInclude="x",
    ROW(FixtureMaintCosts)-ROW(Fixtures!$B$36)
   ),
   COLUMNS($D66:R66)
  )
 ),"")</f>
        <v/>
      </c>
      <c r="S66" s="672" t="str">
        <f t="array" aca="1" ref="S66" ca="1">IFERROR(
 INDEX(FixtureMaintCosts,
  SMALL(
   IF(
    FixtureInclude="x",
    ROW(FixtureMaintCosts)-ROW(Fixtures!$B$36)
   ),
   COLUMNS($D66:S66)
  )
 ),"")</f>
        <v/>
      </c>
      <c r="T66" s="672" t="str">
        <f t="array" aca="1" ref="T66" ca="1">IFERROR(
 INDEX(FixtureMaintCosts,
  SMALL(
   IF(
    FixtureInclude="x",
    ROW(FixtureMaintCosts)-ROW(Fixtures!$B$36)
   ),
   COLUMNS($D66:T66)
  )
 ),"")</f>
        <v/>
      </c>
      <c r="U66" s="672" t="str">
        <f t="array" aca="1" ref="U66" ca="1">IFERROR(
 INDEX(FixtureMaintCosts,
  SMALL(
   IF(
    FixtureInclude="x",
    ROW(FixtureMaintCosts)-ROW(Fixtures!$B$36)
   ),
   COLUMNS($D66:U66)
  )
 ),"")</f>
        <v/>
      </c>
      <c r="V66" s="672" t="str">
        <f t="array" aca="1" ref="V66" ca="1">IFERROR(
 INDEX(FixtureMaintCosts,
  SMALL(
   IF(
    FixtureInclude="x",
    ROW(FixtureMaintCosts)-ROW(Fixtures!$B$36)
   ),
   COLUMNS($D66:V66)
  )
 ),"")</f>
        <v/>
      </c>
      <c r="W66" s="672" t="str">
        <f t="array" aca="1" ref="W66" ca="1">IFERROR(
 INDEX(FixtureMaintCosts,
  SMALL(
   IF(
    FixtureInclude="x",
    ROW(FixtureMaintCosts)-ROW(Fixtures!$B$36)
   ),
   COLUMNS($D66:W66)
  )
 ),"")</f>
        <v/>
      </c>
      <c r="X66" s="672" t="str">
        <f t="array" aca="1" ref="X66" ca="1">IFERROR(
 INDEX(FixtureMaintCosts,
  SMALL(
   IF(
    FixtureInclude="x",
    ROW(FixtureMaintCosts)-ROW(Fixtures!$B$36)
   ),
   COLUMNS($D66:X66)
  )
 ),"")</f>
        <v/>
      </c>
      <c r="Y66" s="672" t="str">
        <f t="array" aca="1" ref="Y66" ca="1">IFERROR(
 INDEX(FixtureMaintCosts,
  SMALL(
   IF(
    FixtureInclude="x",
    ROW(FixtureMaintCosts)-ROW(Fixtures!$B$36)
   ),
   COLUMNS($D66:Y66)
  )
 ),"")</f>
        <v/>
      </c>
      <c r="Z66" s="672" t="str">
        <f t="array" aca="1" ref="Z66" ca="1">IFERROR(
 INDEX(FixtureMaintCosts,
  SMALL(
   IF(
    FixtureInclude="x",
    ROW(FixtureMaintCosts)-ROW(Fixtures!$B$36)
   ),
   COLUMNS($D66:Z66)
  )
 ),"")</f>
        <v/>
      </c>
      <c r="AA66" s="672" t="str">
        <f t="array" aca="1" ref="AA66" ca="1">IFERROR(
 INDEX(FixtureMaintCosts,
  SMALL(
   IF(
    FixtureInclude="x",
    ROW(FixtureMaintCosts)-ROW(Fixtures!$B$36)
   ),
   COLUMNS($D66:AA66)
  )
 ),"")</f>
        <v/>
      </c>
      <c r="AB66" s="672" t="str">
        <f t="array" aca="1" ref="AB66" ca="1">IFERROR(
 INDEX(FixtureMaintCosts,
  SMALL(
   IF(
    FixtureInclude="x",
    ROW(FixtureMaintCosts)-ROW(Fixtures!$B$36)
   ),
   COLUMNS($D66:AB66)
  )
 ),"")</f>
        <v/>
      </c>
      <c r="AC66" s="672" t="str">
        <f t="array" aca="1" ref="AC66" ca="1">IFERROR(
 INDEX(FixtureMaintCosts,
  SMALL(
   IF(
    FixtureInclude="x",
    ROW(FixtureMaintCosts)-ROW(Fixtures!$B$36)
   ),
   COLUMNS($D66:AC66)
  )
 ),"")</f>
        <v/>
      </c>
      <c r="AD66" s="672" t="str">
        <f t="array" aca="1" ref="AD66" ca="1">IFERROR(
 INDEX(FixtureMaintCosts,
  SMALL(
   IF(
    FixtureInclude="x",
    ROW(FixtureMaintCosts)-ROW(Fixtures!$B$36)
   ),
   COLUMNS($D66:AD66)
  )
 ),"")</f>
        <v/>
      </c>
      <c r="AE66" s="672" t="str">
        <f t="array" aca="1" ref="AE66" ca="1">IFERROR(
 INDEX(FixtureMaintCosts,
  SMALL(
   IF(
    FixtureInclude="x",
    ROW(FixtureMaintCosts)-ROW(Fixtures!$B$36)
   ),
   COLUMNS($D66:AE66)
  )
 ),"")</f>
        <v/>
      </c>
      <c r="AF66" s="672" t="str">
        <f t="array" aca="1" ref="AF66" ca="1">IFERROR(
 INDEX(FixtureMaintCosts,
  SMALL(
   IF(
    FixtureInclude="x",
    ROW(FixtureMaintCosts)-ROW(Fixtures!$B$36)
   ),
   COLUMNS($D66:AF66)
  )
 ),"")</f>
        <v/>
      </c>
      <c r="AG66" s="672" t="str">
        <f t="array" aca="1" ref="AG66" ca="1">IFERROR(
 INDEX(FixtureMaintCosts,
  SMALL(
   IF(
    FixtureInclude="x",
    ROW(FixtureMaintCosts)-ROW(Fixtures!$B$36)
   ),
   COLUMNS($D66:AG66)
  )
 ),"")</f>
        <v/>
      </c>
      <c r="AH66" s="672" t="str">
        <f t="array" aca="1" ref="AH66" ca="1">IFERROR(
 INDEX(FixtureMaintCosts,
  SMALL(
   IF(
    FixtureInclude="x",
    ROW(FixtureMaintCosts)-ROW(Fixtures!$B$36)
   ),
   COLUMNS($D66:AH66)
  )
 ),"")</f>
        <v/>
      </c>
      <c r="AI66" s="672" t="str">
        <f t="array" aca="1" ref="AI66" ca="1">IFERROR(
 INDEX(FixtureMaintCosts,
  SMALL(
   IF(
    FixtureInclude="x",
    ROW(FixtureMaintCosts)-ROW(Fixtures!$B$36)
   ),
   COLUMNS($D66:AI66)
  )
 ),"")</f>
        <v/>
      </c>
      <c r="AJ66" s="672" t="str">
        <f t="array" aca="1" ref="AJ66" ca="1">IFERROR(
 INDEX(FixtureMaintCosts,
  SMALL(
   IF(
    FixtureInclude="x",
    ROW(FixtureMaintCosts)-ROW(Fixtures!$B$36)
   ),
   COLUMNS($D66:AJ66)
  )
 ),"")</f>
        <v/>
      </c>
      <c r="AK66" s="672" t="str">
        <f t="array" aca="1" ref="AK66" ca="1">IFERROR(
 INDEX(FixtureMaintCosts,
  SMALL(
   IF(
    FixtureInclude="x",
    ROW(FixtureMaintCosts)-ROW(Fixtures!$B$36)
   ),
   COLUMNS($D66:AK66)
  )
 ),"")</f>
        <v/>
      </c>
      <c r="AL66" s="672" t="str">
        <f t="array" aca="1" ref="AL66" ca="1">IFERROR(
 INDEX(FixtureMaintCosts,
  SMALL(
   IF(
    FixtureInclude="x",
    ROW(FixtureMaintCosts)-ROW(Fixtures!$B$36)
   ),
   COLUMNS($D66:AL66)
  )
 ),"")</f>
        <v/>
      </c>
      <c r="AM66" s="672" t="str">
        <f t="array" aca="1" ref="AM66" ca="1">IFERROR(
 INDEX(FixtureMaintCosts,
  SMALL(
   IF(
    FixtureInclude="x",
    ROW(FixtureMaintCosts)-ROW(Fixtures!$B$36)
   ),
   COLUMNS($D66:AM66)
  )
 ),"")</f>
        <v/>
      </c>
      <c r="AN66" s="672" t="str">
        <f t="array" aca="1" ref="AN66" ca="1">IFERROR(
 INDEX(FixtureMaintCosts,
  SMALL(
   IF(
    FixtureInclude="x",
    ROW(FixtureMaintCosts)-ROW(Fixtures!$B$36)
   ),
   COLUMNS($D66:AN66)
  )
 ),"")</f>
        <v/>
      </c>
      <c r="AO66" s="672" t="str">
        <f t="array" aca="1" ref="AO66" ca="1">IFERROR(
 INDEX(FixtureMaintCosts,
  SMALL(
   IF(
    FixtureInclude="x",
    ROW(FixtureMaintCosts)-ROW(Fixtures!$B$36)
   ),
   COLUMNS($D66:AO66)
  )
 ),"")</f>
        <v/>
      </c>
      <c r="AP66" s="672" t="str">
        <f t="array" aca="1" ref="AP66" ca="1">IFERROR(
 INDEX(FixtureMaintCosts,
  SMALL(
   IF(
    FixtureInclude="x",
    ROW(FixtureMaintCosts)-ROW(Fixtures!$B$36)
   ),
   COLUMNS($D66:AP66)
  )
 ),"")</f>
        <v/>
      </c>
      <c r="AQ66" s="672" t="str">
        <f t="array" aca="1" ref="AQ66" ca="1">IFERROR(
 INDEX(FixtureMaintCosts,
  SMALL(
   IF(
    FixtureInclude="x",
    ROW(FixtureMaintCosts)-ROW(Fixtures!$B$36)
   ),
   COLUMNS($D66:AQ66)
  )
 ),"")</f>
        <v/>
      </c>
      <c r="AR66" s="672" t="str">
        <f t="array" aca="1" ref="AR66" ca="1">IFERROR(
 INDEX(FixtureMaintCosts,
  SMALL(
   IF(
    FixtureInclude="x",
    ROW(FixtureMaintCosts)-ROW(Fixtures!$B$36)
   ),
   COLUMNS($D66:AR66)
  )
 ),"")</f>
        <v/>
      </c>
      <c r="AS66" s="672" t="str">
        <f t="array" aca="1" ref="AS66" ca="1">IFERROR(
 INDEX(FixtureMaintCosts,
  SMALL(
   IF(
    FixtureInclude="x",
    ROW(FixtureMaintCosts)-ROW(Fixtures!$B$36)
   ),
   COLUMNS($D66:AS66)
  )
 ),"")</f>
        <v/>
      </c>
      <c r="AT66" s="672" t="str">
        <f t="array" aca="1" ref="AT66" ca="1">IFERROR(
 INDEX(FixtureMaintCosts,
  SMALL(
   IF(
    FixtureInclude="x",
    ROW(FixtureMaintCosts)-ROW(Fixtures!$B$36)
   ),
   COLUMNS($D66:AT66)
  )
 ),"")</f>
        <v/>
      </c>
      <c r="AU66" s="672" t="str">
        <f t="array" aca="1" ref="AU66" ca="1">IFERROR(
 INDEX(FixtureMaintCosts,
  SMALL(
   IF(
    FixtureInclude="x",
    ROW(FixtureMaintCosts)-ROW(Fixtures!$B$36)
   ),
   COLUMNS($D66:AU66)
  )
 ),"")</f>
        <v/>
      </c>
      <c r="AV66" s="672" t="str">
        <f t="array" aca="1" ref="AV66" ca="1">IFERROR(
 INDEX(FixtureMaintCosts,
  SMALL(
   IF(
    FixtureInclude="x",
    ROW(FixtureMaintCosts)-ROW(Fixtures!$B$36)
   ),
   COLUMNS($D66:AV66)
  )
 ),"")</f>
        <v/>
      </c>
      <c r="AW66" s="672" t="str">
        <f t="array" aca="1" ref="AW66" ca="1">IFERROR(
 INDEX(FixtureMaintCosts,
  SMALL(
   IF(
    FixtureInclude="x",
    ROW(FixtureMaintCosts)-ROW(Fixtures!$B$36)
   ),
   COLUMNS($D66:AW66)
  )
 ),"")</f>
        <v/>
      </c>
      <c r="AX66" s="672" t="str">
        <f t="array" aca="1" ref="AX66" ca="1">IFERROR(
 INDEX(FixtureMaintCosts,
  SMALL(
   IF(
    FixtureInclude="x",
    ROW(FixtureMaintCosts)-ROW(Fixtures!$B$36)
   ),
   COLUMNS($D66:AX66)
  )
 ),"")</f>
        <v/>
      </c>
      <c r="AY66" s="672" t="str">
        <f t="array" aca="1" ref="AY66" ca="1">IFERROR(
 INDEX(FixtureMaintCosts,
  SMALL(
   IF(
    FixtureInclude="x",
    ROW(FixtureMaintCosts)-ROW(Fixtures!$B$36)
   ),
   COLUMNS($D66:AY66)
  )
 ),"")</f>
        <v/>
      </c>
      <c r="AZ66" s="672" t="str">
        <f t="array" aca="1" ref="AZ66" ca="1">IFERROR(
 INDEX(FixtureMaintCosts,
  SMALL(
   IF(
    FixtureInclude="x",
    ROW(FixtureMaintCosts)-ROW(Fixtures!$B$36)
   ),
   COLUMNS($D66:AZ66)
  )
 ),"")</f>
        <v/>
      </c>
      <c r="BA66" s="672" t="str">
        <f t="array" aca="1" ref="BA66" ca="1">IFERROR(
 INDEX(FixtureMaintCosts,
  SMALL(
   IF(
    FixtureInclude="x",
    ROW(FixtureMaintCosts)-ROW(Fixtures!$B$36)
   ),
   COLUMNS($D66:BA66)
  )
 ),"")</f>
        <v/>
      </c>
      <c r="BB66" s="672" t="str">
        <f t="array" aca="1" ref="BB66" ca="1">IFERROR(
 INDEX(FixtureMaintCosts,
  SMALL(
   IF(
    FixtureInclude="x",
    ROW(FixtureMaintCosts)-ROW(Fixtures!$B$36)
   ),
   COLUMNS($D66:BB66)
  )
 ),"")</f>
        <v/>
      </c>
      <c r="BC66" s="672" t="str">
        <f t="array" aca="1" ref="BC66" ca="1">IFERROR(
 INDEX(FixtureMaintCosts,
  SMALL(
   IF(
    FixtureInclude="x",
    ROW(FixtureMaintCosts)-ROW(Fixtures!$B$36)
   ),
   COLUMNS($D66:BC66)
  )
 ),"")</f>
        <v/>
      </c>
      <c r="BD66" s="672" t="str">
        <f t="array" aca="1" ref="BD66" ca="1">IFERROR(
 INDEX(FixtureMaintCosts,
  SMALL(
   IF(
    FixtureInclude="x",
    ROW(FixtureMaintCosts)-ROW(Fixtures!$B$36)
   ),
   COLUMNS($D66:BD66)
  )
 ),"")</f>
        <v/>
      </c>
      <c r="BE66" s="672" t="str">
        <f t="array" aca="1" ref="BE66" ca="1">IFERROR(
 INDEX(FixtureMaintCosts,
  SMALL(
   IF(
    FixtureInclude="x",
    ROW(FixtureMaintCosts)-ROW(Fixtures!$B$36)
   ),
   COLUMNS($D66:BE66)
  )
 ),"")</f>
        <v/>
      </c>
      <c r="BF66" s="672" t="str">
        <f t="array" aca="1" ref="BF66" ca="1">IFERROR(
 INDEX(FixtureMaintCosts,
  SMALL(
   IF(
    FixtureInclude="x",
    ROW(FixtureMaintCosts)-ROW(Fixtures!$B$36)
   ),
   COLUMNS($D66:BF66)
  )
 ),"")</f>
        <v/>
      </c>
      <c r="BG66" s="672" t="str">
        <f t="array" aca="1" ref="BG66" ca="1">IFERROR(
 INDEX(FixtureMaintCosts,
  SMALL(
   IF(
    FixtureInclude="x",
    ROW(FixtureMaintCosts)-ROW(Fixtures!$B$36)
   ),
   COLUMNS($D66:BG66)
  )
 ),"")</f>
        <v/>
      </c>
      <c r="BH66" s="672" t="str">
        <f t="array" aca="1" ref="BH66" ca="1">IFERROR(
 INDEX(FixtureMaintCosts,
  SMALL(
   IF(
    FixtureInclude="x",
    ROW(FixtureMaintCosts)-ROW(Fixtures!$B$36)
   ),
   COLUMNS($D66:BH66)
  )
 ),"")</f>
        <v/>
      </c>
      <c r="BI66" s="672" t="str">
        <f t="array" aca="1" ref="BI66" ca="1">IFERROR(
 INDEX(FixtureMaintCosts,
  SMALL(
   IF(
    FixtureInclude="x",
    ROW(FixtureMaintCosts)-ROW(Fixtures!$B$36)
   ),
   COLUMNS($D66:BI66)
  )
 ),"")</f>
        <v/>
      </c>
      <c r="BJ66" s="672" t="str">
        <f t="array" aca="1" ref="BJ66" ca="1">IFERROR(
 INDEX(FixtureMaintCosts,
  SMALL(
   IF(
    FixtureInclude="x",
    ROW(FixtureMaintCosts)-ROW(Fixtures!$B$36)
   ),
   COLUMNS($D66:BJ66)
  )
 ),"")</f>
        <v/>
      </c>
      <c r="BK66" s="672" t="str">
        <f t="array" aca="1" ref="BK66" ca="1">IFERROR(
 INDEX(FixtureMaintCosts,
  SMALL(
   IF(
    FixtureInclude="x",
    ROW(FixtureMaintCosts)-ROW(Fixtures!$B$36)
   ),
   COLUMNS($D66:BK66)
  )
 ),"")</f>
        <v/>
      </c>
      <c r="BL66" s="672" t="str">
        <f t="array" aca="1" ref="BL66" ca="1">IFERROR(
 INDEX(FixtureMaintCosts,
  SMALL(
   IF(
    FixtureInclude="x",
    ROW(FixtureMaintCosts)-ROW(Fixtures!$B$36)
   ),
   COLUMNS($D66:BL66)
  )
 ),"")</f>
        <v/>
      </c>
      <c r="BM66" s="672" t="str">
        <f t="array" aca="1" ref="BM66" ca="1">IFERROR(
 INDEX(FixtureMaintCosts,
  SMALL(
   IF(
    FixtureInclude="x",
    ROW(FixtureMaintCosts)-ROW(Fixtures!$B$36)
   ),
   COLUMNS($D66:BM66)
  )
 ),"")</f>
        <v/>
      </c>
      <c r="BN66" s="672" t="str">
        <f t="array" aca="1" ref="BN66" ca="1">IFERROR(
 INDEX(FixtureMaintCosts,
  SMALL(
   IF(
    FixtureInclude="x",
    ROW(FixtureMaintCosts)-ROW(Fixtures!$B$36)
   ),
   COLUMNS($D66:BN66)
  )
 ),"")</f>
        <v/>
      </c>
      <c r="BO66" s="672" t="str">
        <f t="array" aca="1" ref="BO66" ca="1">IFERROR(
 INDEX(FixtureMaintCosts,
  SMALL(
   IF(
    FixtureInclude="x",
    ROW(FixtureMaintCosts)-ROW(Fixtures!$B$36)
   ),
   COLUMNS($D66:BO66)
  )
 ),"")</f>
        <v/>
      </c>
      <c r="BP66" s="672" t="str">
        <f t="array" aca="1" ref="BP66" ca="1">IFERROR(
 INDEX(FixtureMaintCosts,
  SMALL(
   IF(
    FixtureInclude="x",
    ROW(FixtureMaintCosts)-ROW(Fixtures!$B$36)
   ),
   COLUMNS($D66:BP66)
  )
 ),"")</f>
        <v/>
      </c>
      <c r="BQ66" s="672" t="str">
        <f t="array" aca="1" ref="BQ66" ca="1">IFERROR(
 INDEX(FixtureMaintCosts,
  SMALL(
   IF(
    FixtureInclude="x",
    ROW(FixtureMaintCosts)-ROW(Fixtures!$B$36)
   ),
   COLUMNS($D66:BQ66)
  )
 ),"")</f>
        <v/>
      </c>
      <c r="BR66" s="672" t="str">
        <f t="array" aca="1" ref="BR66" ca="1">IFERROR(
 INDEX(FixtureMaintCosts,
  SMALL(
   IF(
    FixtureInclude="x",
    ROW(FixtureMaintCosts)-ROW(Fixtures!$B$36)
   ),
   COLUMNS($D66:BR66)
  )
 ),"")</f>
        <v/>
      </c>
      <c r="BS66" s="672" t="str">
        <f t="array" aca="1" ref="BS66" ca="1">IFERROR(
 INDEX(FixtureMaintCosts,
  SMALL(
   IF(
    FixtureInclude="x",
    ROW(FixtureMaintCosts)-ROW(Fixtures!$B$36)
   ),
   COLUMNS($D66:BS66)
  )
 ),"")</f>
        <v/>
      </c>
      <c r="BT66" s="672" t="str">
        <f t="array" aca="1" ref="BT66" ca="1">IFERROR(
 INDEX(FixtureMaintCosts,
  SMALL(
   IF(
    FixtureInclude="x",
    ROW(FixtureMaintCosts)-ROW(Fixtures!$B$36)
   ),
   COLUMNS($D66:BT66)
  )
 ),"")</f>
        <v/>
      </c>
      <c r="BU66" s="672" t="str">
        <f t="array" aca="1" ref="BU66" ca="1">IFERROR(
 INDEX(FixtureMaintCosts,
  SMALL(
   IF(
    FixtureInclude="x",
    ROW(FixtureMaintCosts)-ROW(Fixtures!$B$36)
   ),
   COLUMNS($D66:BU66)
  )
 ),"")</f>
        <v/>
      </c>
      <c r="BV66" s="672" t="str">
        <f t="array" aca="1" ref="BV66" ca="1">IFERROR(
 INDEX(FixtureMaintCosts,
  SMALL(
   IF(
    FixtureInclude="x",
    ROW(FixtureMaintCosts)-ROW(Fixtures!$B$36)
   ),
   COLUMNS($D66:BV66)
  )
 ),"")</f>
        <v/>
      </c>
      <c r="BW66" s="672" t="str">
        <f t="array" aca="1" ref="BW66" ca="1">IFERROR(
 INDEX(FixtureMaintCosts,
  SMALL(
   IF(
    FixtureInclude="x",
    ROW(FixtureMaintCosts)-ROW(Fixtures!$B$36)
   ),
   COLUMNS($D66:BW66)
  )
 ),"")</f>
        <v/>
      </c>
      <c r="BX66" s="672" t="str">
        <f t="array" aca="1" ref="BX66" ca="1">IFERROR(
 INDEX(FixtureMaintCosts,
  SMALL(
   IF(
    FixtureInclude="x",
    ROW(FixtureMaintCosts)-ROW(Fixtures!$B$36)
   ),
   COLUMNS($D66:BX66)
  )
 ),"")</f>
        <v/>
      </c>
      <c r="BY66" s="672" t="str">
        <f t="array" aca="1" ref="BY66" ca="1">IFERROR(
 INDEX(FixtureMaintCosts,
  SMALL(
   IF(
    FixtureInclude="x",
    ROW(FixtureMaintCosts)-ROW(Fixtures!$B$36)
   ),
   COLUMNS($D66:BY66)
  )
 ),"")</f>
        <v/>
      </c>
      <c r="BZ66" s="672" t="str">
        <f t="array" aca="1" ref="BZ66" ca="1">IFERROR(
 INDEX(FixtureMaintCosts,
  SMALL(
   IF(
    FixtureInclude="x",
    ROW(FixtureMaintCosts)-ROW(Fixtures!$B$36)
   ),
   COLUMNS($D66:BZ66)
  )
 ),"")</f>
        <v/>
      </c>
      <c r="CA66" s="672" t="str">
        <f t="array" aca="1" ref="CA66" ca="1">IFERROR(
 INDEX(FixtureMaintCosts,
  SMALL(
   IF(
    FixtureInclude="x",
    ROW(FixtureMaintCosts)-ROW(Fixtures!$B$36)
   ),
   COLUMNS($D66:CA66)
  )
 ),"")</f>
        <v/>
      </c>
      <c r="CB66" s="672" t="str">
        <f t="array" aca="1" ref="CB66" ca="1">IFERROR(
 INDEX(FixtureMaintCosts,
  SMALL(
   IF(
    FixtureInclude="x",
    ROW(FixtureMaintCosts)-ROW(Fixtures!$B$36)
   ),
   COLUMNS($D66:CB66)
  )
 ),"")</f>
        <v/>
      </c>
      <c r="CC66" s="672" t="str">
        <f t="array" aca="1" ref="CC66" ca="1">IFERROR(
 INDEX(FixtureMaintCosts,
  SMALL(
   IF(
    FixtureInclude="x",
    ROW(FixtureMaintCosts)-ROW(Fixtures!$B$36)
   ),
   COLUMNS($D66:CC66)
  )
 ),"")</f>
        <v/>
      </c>
      <c r="CD66" s="672" t="str">
        <f t="array" aca="1" ref="CD66" ca="1">IFERROR(
 INDEX(FixtureMaintCosts,
  SMALL(
   IF(
    FixtureInclude="x",
    ROW(FixtureMaintCosts)-ROW(Fixtures!$B$36)
   ),
   COLUMNS($D66:CD66)
  )
 ),"")</f>
        <v/>
      </c>
      <c r="CE66" s="672" t="str">
        <f t="array" aca="1" ref="CE66" ca="1">IFERROR(
 INDEX(FixtureMaintCosts,
  SMALL(
   IF(
    FixtureInclude="x",
    ROW(FixtureMaintCosts)-ROW(Fixtures!$B$36)
   ),
   COLUMNS($D66:CE66)
  )
 ),"")</f>
        <v/>
      </c>
      <c r="CF66" s="672" t="str">
        <f t="array" aca="1" ref="CF66" ca="1">IFERROR(
 INDEX(FixtureMaintCosts,
  SMALL(
   IF(
    FixtureInclude="x",
    ROW(FixtureMaintCosts)-ROW(Fixtures!$B$36)
   ),
   COLUMNS($D66:CF66)
  )
 ),"")</f>
        <v/>
      </c>
      <c r="CG66" s="672" t="str">
        <f t="array" aca="1" ref="CG66" ca="1">IFERROR(
 INDEX(FixtureMaintCosts,
  SMALL(
   IF(
    FixtureInclude="x",
    ROW(FixtureMaintCosts)-ROW(Fixtures!$B$36)
   ),
   COLUMNS($D66:CG66)
  )
 ),"")</f>
        <v/>
      </c>
      <c r="CH66" s="672" t="str">
        <f t="array" aca="1" ref="CH66" ca="1">IFERROR(
 INDEX(FixtureMaintCosts,
  SMALL(
   IF(
    FixtureInclude="x",
    ROW(FixtureMaintCosts)-ROW(Fixtures!$B$36)
   ),
   COLUMNS($D66:CH66)
  )
 ),"")</f>
        <v/>
      </c>
      <c r="CI66" s="672" t="str">
        <f t="array" aca="1" ref="CI66" ca="1">IFERROR(
 INDEX(FixtureMaintCosts,
  SMALL(
   IF(
    FixtureInclude="x",
    ROW(FixtureMaintCosts)-ROW(Fixtures!$B$36)
   ),
   COLUMNS($D66:CI66)
  )
 ),"")</f>
        <v/>
      </c>
      <c r="CJ66" s="672" t="str">
        <f t="array" aca="1" ref="CJ66" ca="1">IFERROR(
 INDEX(FixtureMaintCosts,
  SMALL(
   IF(
    FixtureInclude="x",
    ROW(FixtureMaintCosts)-ROW(Fixtures!$B$36)
   ),
   COLUMNS($D66:CJ66)
  )
 ),"")</f>
        <v/>
      </c>
      <c r="CK66" s="672" t="str">
        <f t="array" aca="1" ref="CK66" ca="1">IFERROR(
 INDEX(FixtureMaintCosts,
  SMALL(
   IF(
    FixtureInclude="x",
    ROW(FixtureMaintCosts)-ROW(Fixtures!$B$36)
   ),
   COLUMNS($D66:CK66)
  )
 ),"")</f>
        <v/>
      </c>
      <c r="CL66" s="672" t="str">
        <f t="array" aca="1" ref="CL66" ca="1">IFERROR(
 INDEX(FixtureMaintCosts,
  SMALL(
   IF(
    FixtureInclude="x",
    ROW(FixtureMaintCosts)-ROW(Fixtures!$B$36)
   ),
   COLUMNS($D66:CL66)
  )
 ),"")</f>
        <v/>
      </c>
      <c r="CM66" s="672" t="str">
        <f t="array" aca="1" ref="CM66" ca="1">IFERROR(
 INDEX(FixtureMaintCosts,
  SMALL(
   IF(
    FixtureInclude="x",
    ROW(FixtureMaintCosts)-ROW(Fixtures!$B$36)
   ),
   COLUMNS($D66:CM66)
  )
 ),"")</f>
        <v/>
      </c>
      <c r="CN66" s="672" t="str">
        <f t="array" aca="1" ref="CN66" ca="1">IFERROR(
 INDEX(FixtureMaintCosts,
  SMALL(
   IF(
    FixtureInclude="x",
    ROW(FixtureMaintCosts)-ROW(Fixtures!$B$36)
   ),
   COLUMNS($D66:CN66)
  )
 ),"")</f>
        <v/>
      </c>
      <c r="CO66" s="672" t="str">
        <f t="array" aca="1" ref="CO66" ca="1">IFERROR(
 INDEX(FixtureMaintCosts,
  SMALL(
   IF(
    FixtureInclude="x",
    ROW(FixtureMaintCosts)-ROW(Fixtures!$B$36)
   ),
   COLUMNS($D66:CO66)
  )
 ),"")</f>
        <v/>
      </c>
      <c r="CP66" s="672" t="str">
        <f t="array" aca="1" ref="CP66" ca="1">IFERROR(
 INDEX(FixtureMaintCosts,
  SMALL(
   IF(
    FixtureInclude="x",
    ROW(FixtureMaintCosts)-ROW(Fixtures!$B$36)
   ),
   COLUMNS($D66:CP66)
  )
 ),"")</f>
        <v/>
      </c>
      <c r="CQ66" s="672" t="str">
        <f t="array" aca="1" ref="CQ66" ca="1">IFERROR(
 INDEX(FixtureMaintCosts,
  SMALL(
   IF(
    FixtureInclude="x",
    ROW(FixtureMaintCosts)-ROW(Fixtures!$B$36)
   ),
   COLUMNS($D66:CQ66)
  )
 ),"")</f>
        <v/>
      </c>
      <c r="CR66" s="672" t="str">
        <f t="array" aca="1" ref="CR66" ca="1">IFERROR(
 INDEX(FixtureMaintCosts,
  SMALL(
   IF(
    FixtureInclude="x",
    ROW(FixtureMaintCosts)-ROW(Fixtures!$B$36)
   ),
   COLUMNS($D66:CR66)
  )
 ),"")</f>
        <v/>
      </c>
      <c r="CS66" s="672" t="str">
        <f t="array" aca="1" ref="CS66" ca="1">IFERROR(
 INDEX(FixtureMaintCosts,
  SMALL(
   IF(
    FixtureInclude="x",
    ROW(FixtureMaintCosts)-ROW(Fixtures!$B$36)
   ),
   COLUMNS($D66:CS66)
  )
 ),"")</f>
        <v/>
      </c>
      <c r="CT66" s="672" t="str">
        <f t="array" aca="1" ref="CT66" ca="1">IFERROR(
 INDEX(FixtureMaintCosts,
  SMALL(
   IF(
    FixtureInclude="x",
    ROW(FixtureMaintCosts)-ROW(Fixtures!$B$36)
   ),
   COLUMNS($D66:CT66)
  )
 ),"")</f>
        <v/>
      </c>
      <c r="CU66" s="672" t="str">
        <f t="array" aca="1" ref="CU66" ca="1">IFERROR(
 INDEX(FixtureMaintCosts,
  SMALL(
   IF(
    FixtureInclude="x",
    ROW(FixtureMaintCosts)-ROW(Fixtures!$B$36)
   ),
   COLUMNS($D66:CU66)
  )
 ),"")</f>
        <v/>
      </c>
      <c r="CV66" s="672" t="str">
        <f t="array" aca="1" ref="CV66" ca="1">IFERROR(
 INDEX(FixtureMaintCosts,
  SMALL(
   IF(
    FixtureInclude="x",
    ROW(FixtureMaintCosts)-ROW(Fixtures!$B$36)
   ),
   COLUMNS($D66:CV66)
  )
 ),"")</f>
        <v/>
      </c>
      <c r="CW66" s="672" t="str">
        <f t="array" aca="1" ref="CW66" ca="1">IFERROR(
 INDEX(FixtureMaintCosts,
  SMALL(
   IF(
    FixtureInclude="x",
    ROW(FixtureMaintCosts)-ROW(Fixtures!$B$36)
   ),
   COLUMNS($D66:CW66)
  )
 ),"")</f>
        <v/>
      </c>
      <c r="CX66" s="672" t="str">
        <f t="array" aca="1" ref="CX66" ca="1">IFERROR(
 INDEX(FixtureMaintCosts,
  SMALL(
   IF(
    FixtureInclude="x",
    ROW(FixtureMaintCosts)-ROW(Fixtures!$B$36)
   ),
   COLUMNS($D66:CX66)
  )
 ),"")</f>
        <v/>
      </c>
      <c r="CY66" s="672" t="str">
        <f t="array" aca="1" ref="CY66" ca="1">IFERROR(
 INDEX(FixtureMaintCosts,
  SMALL(
   IF(
    FixtureInclude="x",
    ROW(FixtureMaintCosts)-ROW(Fixtures!$B$36)
   ),
   COLUMNS($D66:CY66)
  )
 ),"")</f>
        <v/>
      </c>
      <c r="CZ66" s="672" t="str">
        <f t="array" aca="1" ref="CZ66" ca="1">IFERROR(
 INDEX(FixtureMaintCosts,
  SMALL(
   IF(
    FixtureInclude="x",
    ROW(FixtureMaintCosts)-ROW(Fixtures!$B$36)
   ),
   COLUMNS($D66:CZ66)
  )
 ),"")</f>
        <v/>
      </c>
      <c r="DA66" s="672" t="str">
        <f t="array" aca="1" ref="DA66" ca="1">IFERROR(
 INDEX(FixtureMaintCosts,
  SMALL(
   IF(
    FixtureInclude="x",
    ROW(FixtureMaintCosts)-ROW(Fixtures!$B$36)
   ),
   COLUMNS($D66:DA66)
  )
 ),"")</f>
        <v/>
      </c>
      <c r="DB66" s="672" t="str">
        <f t="array" aca="1" ref="DB66" ca="1">IFERROR(
 INDEX(FixtureMaintCosts,
  SMALL(
   IF(
    FixtureInclude="x",
    ROW(FixtureMaintCosts)-ROW(Fixtures!$B$36)
   ),
   COLUMNS($D66:DB66)
  )
 ),"")</f>
        <v/>
      </c>
      <c r="DC66" s="672" t="str">
        <f t="array" aca="1" ref="DC66" ca="1">IFERROR(
 INDEX(FixtureMaintCosts,
  SMALL(
   IF(
    FixtureInclude="x",
    ROW(FixtureMaintCosts)-ROW(Fixtures!$B$36)
   ),
   COLUMNS($D66:DC66)
  )
 ),"")</f>
        <v/>
      </c>
      <c r="DD66" s="672" t="str">
        <f t="array" aca="1" ref="DD66" ca="1">IFERROR(
 INDEX(FixtureMaintCosts,
  SMALL(
   IF(
    FixtureInclude="x",
    ROW(FixtureMaintCosts)-ROW(Fixtures!$B$36)
   ),
   COLUMNS($D66:DD66)
  )
 ),"")</f>
        <v/>
      </c>
      <c r="DE66" s="672" t="str">
        <f t="array" aca="1" ref="DE66" ca="1">IFERROR(
 INDEX(FixtureMaintCosts,
  SMALL(
   IF(
    FixtureInclude="x",
    ROW(FixtureMaintCosts)-ROW(Fixtures!$B$36)
   ),
   COLUMNS($D66:DE66)
  )
 ),"")</f>
        <v/>
      </c>
      <c r="DF66" s="672" t="str">
        <f t="array" aca="1" ref="DF66" ca="1">IFERROR(
 INDEX(FixtureMaintCosts,
  SMALL(
   IF(
    FixtureInclude="x",
    ROW(FixtureMaintCosts)-ROW(Fixtures!$B$36)
   ),
   COLUMNS($D66:DF66)
  )
 ),"")</f>
        <v/>
      </c>
      <c r="DG66" s="672" t="str">
        <f t="array" aca="1" ref="DG66" ca="1">IFERROR(
 INDEX(FixtureMaintCosts,
  SMALL(
   IF(
    FixtureInclude="x",
    ROW(FixtureMaintCosts)-ROW(Fixtures!$B$36)
   ),
   COLUMNS($D66:DG66)
  )
 ),"")</f>
        <v/>
      </c>
      <c r="DH66" s="672" t="str">
        <f t="array" aca="1" ref="DH66" ca="1">IFERROR(
 INDEX(FixtureMaintCosts,
  SMALL(
   IF(
    FixtureInclude="x",
    ROW(FixtureMaintCosts)-ROW(Fixtures!$B$36)
   ),
   COLUMNS($D66:DH66)
  )
 ),"")</f>
        <v/>
      </c>
    </row>
    <row r="67" spans="1:112">
      <c r="B67" s="565" t="str">
        <f>Fixtures!E27</f>
        <v>Maintenance inflation rate (%/year)</v>
      </c>
      <c r="C67" s="583">
        <f>Fixtures!F27</f>
        <v>0.02</v>
      </c>
      <c r="D67" s="583">
        <f t="array" aca="1" ref="D67" ca="1">IFERROR(
 INDEX(FixtureMaintInf,
  SMALL(
   IF(
    FixtureInclude="x",
    ROW(FixtureMaintInf)-ROW(Fixtures!$B$36)
   ),
   COLUMNS($D67:D67)
  )
 ),"")</f>
        <v>0.02</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0.69000000000000006</v>
      </c>
      <c r="D68" s="585">
        <f t="array" aca="1" ref="D68" ca="1">IFERROR(
 INDEX(FixtureLOM,
  SMALL(
   IF(
    FixtureInclude="x",
    ROW(FixtureLOM)-ROW(Fixtures!$B$36)
   ),
   COLUMNS($D68:D68)
  )
 ),"")</f>
        <v>0.69000000000000006</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2"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GS79"/>
  <sheetViews>
    <sheetView tabSelected="1" zoomScale="70" zoomScaleNormal="70" workbookViewId="0">
      <selection activeCell="K13" sqref="K13"/>
    </sheetView>
  </sheetViews>
  <sheetFormatPr defaultRowHeight="15" outlineLevelCol="1"/>
  <cols>
    <col min="41" max="42" width="9.140625" outlineLevel="1"/>
  </cols>
  <sheetData>
    <row r="1" spans="1:201" ht="23.25">
      <c r="A1" s="695"/>
    </row>
    <row r="2" spans="1:201">
      <c r="B2" t="s">
        <v>3358</v>
      </c>
      <c r="L2" t="s">
        <v>3362</v>
      </c>
      <c r="V2" t="s">
        <v>3363</v>
      </c>
      <c r="AF2" t="s">
        <v>3364</v>
      </c>
      <c r="AP2" t="s">
        <v>3365</v>
      </c>
      <c r="AZ2" t="s">
        <v>3366</v>
      </c>
      <c r="BJ2" t="s">
        <v>3367</v>
      </c>
      <c r="BT2" t="s">
        <v>3368</v>
      </c>
      <c r="CD2" t="s">
        <v>3369</v>
      </c>
      <c r="CN2" t="s">
        <v>3370</v>
      </c>
      <c r="CX2" t="s">
        <v>3358</v>
      </c>
      <c r="DH2" t="s">
        <v>3362</v>
      </c>
      <c r="DR2" t="s">
        <v>3363</v>
      </c>
      <c r="EB2" t="s">
        <v>3364</v>
      </c>
      <c r="EL2" t="s">
        <v>3365</v>
      </c>
      <c r="EV2" t="s">
        <v>3366</v>
      </c>
      <c r="FF2" t="s">
        <v>3367</v>
      </c>
      <c r="FP2" t="s">
        <v>3368</v>
      </c>
      <c r="FZ2" t="s">
        <v>3369</v>
      </c>
      <c r="GJ2" t="s">
        <v>3370</v>
      </c>
    </row>
    <row r="3" spans="1:201">
      <c r="B3" t="s">
        <v>3359</v>
      </c>
      <c r="C3">
        <v>0</v>
      </c>
      <c r="L3" t="s">
        <v>3359</v>
      </c>
      <c r="M3">
        <v>0</v>
      </c>
      <c r="V3" t="s">
        <v>3359</v>
      </c>
      <c r="W3">
        <v>35</v>
      </c>
      <c r="AF3" t="s">
        <v>3359</v>
      </c>
      <c r="AG3">
        <v>35</v>
      </c>
      <c r="AP3" t="s">
        <v>3359</v>
      </c>
      <c r="AQ3">
        <v>70</v>
      </c>
      <c r="AZ3" t="s">
        <v>3359</v>
      </c>
      <c r="BA3">
        <v>70</v>
      </c>
      <c r="BJ3" t="s">
        <v>3359</v>
      </c>
      <c r="BK3">
        <v>105</v>
      </c>
      <c r="BT3" t="s">
        <v>3359</v>
      </c>
      <c r="BU3">
        <v>105</v>
      </c>
      <c r="CD3" t="s">
        <v>3359</v>
      </c>
      <c r="CE3">
        <v>140</v>
      </c>
      <c r="CN3" t="s">
        <v>3359</v>
      </c>
      <c r="CO3">
        <v>140</v>
      </c>
      <c r="CX3" t="s">
        <v>3359</v>
      </c>
      <c r="CY3">
        <v>0</v>
      </c>
      <c r="DH3" t="s">
        <v>3359</v>
      </c>
      <c r="DI3">
        <v>0</v>
      </c>
      <c r="DR3" t="s">
        <v>3359</v>
      </c>
      <c r="DS3">
        <v>35</v>
      </c>
      <c r="EB3" t="s">
        <v>3359</v>
      </c>
      <c r="EC3">
        <v>35</v>
      </c>
      <c r="EL3" t="s">
        <v>3359</v>
      </c>
      <c r="EM3">
        <v>70</v>
      </c>
      <c r="EV3" t="s">
        <v>3359</v>
      </c>
      <c r="EW3">
        <v>70</v>
      </c>
      <c r="FF3" t="s">
        <v>3359</v>
      </c>
      <c r="FG3">
        <v>105</v>
      </c>
      <c r="FP3" t="s">
        <v>3359</v>
      </c>
      <c r="FQ3">
        <v>105</v>
      </c>
      <c r="FZ3" t="s">
        <v>3359</v>
      </c>
      <c r="GA3">
        <v>140</v>
      </c>
      <c r="GJ3" t="s">
        <v>3359</v>
      </c>
      <c r="GK3">
        <v>140</v>
      </c>
    </row>
    <row r="4" spans="1:201">
      <c r="B4" t="s">
        <v>3360</v>
      </c>
      <c r="C4">
        <v>5.5</v>
      </c>
      <c r="L4" t="s">
        <v>3360</v>
      </c>
      <c r="M4">
        <v>11.5</v>
      </c>
      <c r="V4" t="s">
        <v>3360</v>
      </c>
      <c r="W4">
        <v>5.5</v>
      </c>
      <c r="AF4" t="s">
        <v>3360</v>
      </c>
      <c r="AG4">
        <v>11.5</v>
      </c>
      <c r="AP4" t="s">
        <v>3360</v>
      </c>
      <c r="AQ4">
        <v>5.5</v>
      </c>
      <c r="AZ4" t="s">
        <v>3360</v>
      </c>
      <c r="BA4">
        <v>11.5</v>
      </c>
      <c r="BJ4" t="s">
        <v>3360</v>
      </c>
      <c r="BK4">
        <v>5.5</v>
      </c>
      <c r="BT4" t="s">
        <v>3360</v>
      </c>
      <c r="BU4">
        <v>11.5</v>
      </c>
      <c r="CD4" t="s">
        <v>3360</v>
      </c>
      <c r="CE4">
        <v>5.5</v>
      </c>
      <c r="CN4" t="s">
        <v>3360</v>
      </c>
      <c r="CO4">
        <v>11.5</v>
      </c>
      <c r="CX4" t="s">
        <v>3360</v>
      </c>
      <c r="CY4">
        <v>5.5</v>
      </c>
      <c r="DH4" t="s">
        <v>3360</v>
      </c>
      <c r="DI4">
        <v>11.5</v>
      </c>
      <c r="DR4" t="s">
        <v>3360</v>
      </c>
      <c r="DS4">
        <v>5.5</v>
      </c>
      <c r="EB4" t="s">
        <v>3360</v>
      </c>
      <c r="EC4">
        <v>11.5</v>
      </c>
      <c r="EL4" t="s">
        <v>3360</v>
      </c>
      <c r="EM4">
        <v>5.5</v>
      </c>
      <c r="EV4" t="s">
        <v>3360</v>
      </c>
      <c r="EW4">
        <v>11.5</v>
      </c>
      <c r="FF4" t="s">
        <v>3360</v>
      </c>
      <c r="FG4">
        <v>5.5</v>
      </c>
      <c r="FP4" t="s">
        <v>3360</v>
      </c>
      <c r="FQ4">
        <v>11.5</v>
      </c>
      <c r="FZ4" t="s">
        <v>3360</v>
      </c>
      <c r="GA4">
        <v>5.5</v>
      </c>
      <c r="GJ4" t="s">
        <v>3360</v>
      </c>
      <c r="GK4">
        <v>11.5</v>
      </c>
    </row>
    <row r="6" spans="1:201">
      <c r="B6" t="s">
        <v>3361</v>
      </c>
      <c r="L6" t="s">
        <v>3361</v>
      </c>
      <c r="V6" t="s">
        <v>3361</v>
      </c>
      <c r="AF6" t="s">
        <v>3361</v>
      </c>
      <c r="AP6" t="s">
        <v>3361</v>
      </c>
      <c r="AZ6" t="s">
        <v>3361</v>
      </c>
      <c r="BJ6" t="s">
        <v>3361</v>
      </c>
      <c r="BT6" t="s">
        <v>3361</v>
      </c>
      <c r="CD6" t="s">
        <v>3361</v>
      </c>
      <c r="CN6" t="s">
        <v>3361</v>
      </c>
      <c r="CX6" t="s">
        <v>3361</v>
      </c>
      <c r="DH6" t="s">
        <v>3361</v>
      </c>
      <c r="DR6" t="s">
        <v>3361</v>
      </c>
      <c r="EB6" t="s">
        <v>3361</v>
      </c>
      <c r="EL6" t="s">
        <v>3361</v>
      </c>
      <c r="EV6" t="s">
        <v>3361</v>
      </c>
      <c r="FF6" t="s">
        <v>3361</v>
      </c>
      <c r="FP6" t="s">
        <v>3361</v>
      </c>
      <c r="FZ6" t="s">
        <v>3361</v>
      </c>
      <c r="GJ6" t="s">
        <v>3361</v>
      </c>
    </row>
    <row r="7" spans="1:201">
      <c r="B7">
        <v>36.75</v>
      </c>
      <c r="C7">
        <v>40.25</v>
      </c>
      <c r="D7">
        <v>43.75</v>
      </c>
      <c r="E7">
        <v>47.25</v>
      </c>
      <c r="F7">
        <v>50.75</v>
      </c>
      <c r="G7">
        <v>54.25</v>
      </c>
      <c r="H7">
        <v>57.75</v>
      </c>
      <c r="I7">
        <v>61.25</v>
      </c>
      <c r="J7">
        <v>64.75</v>
      </c>
      <c r="L7">
        <v>36.75</v>
      </c>
      <c r="M7">
        <v>40.25</v>
      </c>
      <c r="N7">
        <v>43.75</v>
      </c>
      <c r="O7">
        <v>47.25</v>
      </c>
      <c r="P7">
        <v>50.75</v>
      </c>
      <c r="Q7">
        <v>54.25</v>
      </c>
      <c r="R7">
        <v>57.75</v>
      </c>
      <c r="S7">
        <v>61.25</v>
      </c>
      <c r="T7">
        <v>64.75</v>
      </c>
      <c r="V7">
        <v>36.75</v>
      </c>
      <c r="W7">
        <v>40.25</v>
      </c>
      <c r="X7">
        <v>43.75</v>
      </c>
      <c r="Y7">
        <v>47.25</v>
      </c>
      <c r="Z7">
        <v>50.75</v>
      </c>
      <c r="AA7">
        <v>54.25</v>
      </c>
      <c r="AB7">
        <v>57.75</v>
      </c>
      <c r="AC7">
        <v>61.25</v>
      </c>
      <c r="AD7">
        <v>64.75</v>
      </c>
      <c r="AF7">
        <v>36.75</v>
      </c>
      <c r="AG7">
        <v>40.25</v>
      </c>
      <c r="AH7">
        <v>43.75</v>
      </c>
      <c r="AI7">
        <v>47.25</v>
      </c>
      <c r="AJ7">
        <v>50.75</v>
      </c>
      <c r="AK7">
        <v>54.25</v>
      </c>
      <c r="AL7">
        <v>57.75</v>
      </c>
      <c r="AM7">
        <v>61.25</v>
      </c>
      <c r="AN7">
        <v>64.75</v>
      </c>
      <c r="AP7">
        <v>36.75</v>
      </c>
      <c r="AQ7">
        <v>40.25</v>
      </c>
      <c r="AR7">
        <v>43.75</v>
      </c>
      <c r="AS7">
        <v>47.25</v>
      </c>
      <c r="AT7">
        <v>50.75</v>
      </c>
      <c r="AU7">
        <v>54.25</v>
      </c>
      <c r="AV7">
        <v>57.75</v>
      </c>
      <c r="AW7">
        <v>61.25</v>
      </c>
      <c r="AX7">
        <v>64.75</v>
      </c>
      <c r="AZ7">
        <v>36.75</v>
      </c>
      <c r="BA7">
        <v>40.25</v>
      </c>
      <c r="BB7">
        <v>43.75</v>
      </c>
      <c r="BC7">
        <v>47.25</v>
      </c>
      <c r="BD7">
        <v>50.75</v>
      </c>
      <c r="BE7">
        <v>54.25</v>
      </c>
      <c r="BF7">
        <v>57.75</v>
      </c>
      <c r="BG7">
        <v>61.25</v>
      </c>
      <c r="BH7">
        <v>64.75</v>
      </c>
      <c r="BJ7">
        <v>36.75</v>
      </c>
      <c r="BK7">
        <v>40.25</v>
      </c>
      <c r="BL7">
        <v>43.75</v>
      </c>
      <c r="BM7">
        <v>47.25</v>
      </c>
      <c r="BN7">
        <v>50.75</v>
      </c>
      <c r="BO7">
        <v>54.25</v>
      </c>
      <c r="BP7">
        <v>57.75</v>
      </c>
      <c r="BQ7">
        <v>61.25</v>
      </c>
      <c r="BR7">
        <v>64.75</v>
      </c>
      <c r="BT7">
        <v>36.75</v>
      </c>
      <c r="BU7">
        <v>40.25</v>
      </c>
      <c r="BV7">
        <v>43.75</v>
      </c>
      <c r="BW7">
        <v>47.25</v>
      </c>
      <c r="BX7">
        <v>50.75</v>
      </c>
      <c r="BY7">
        <v>54.25</v>
      </c>
      <c r="BZ7">
        <v>57.75</v>
      </c>
      <c r="CA7">
        <v>61.25</v>
      </c>
      <c r="CB7">
        <v>64.75</v>
      </c>
      <c r="CD7">
        <v>36.75</v>
      </c>
      <c r="CE7">
        <v>40.25</v>
      </c>
      <c r="CF7">
        <v>43.75</v>
      </c>
      <c r="CG7">
        <v>47.25</v>
      </c>
      <c r="CH7">
        <v>50.75</v>
      </c>
      <c r="CI7">
        <v>54.25</v>
      </c>
      <c r="CJ7">
        <v>57.75</v>
      </c>
      <c r="CK7">
        <v>61.25</v>
      </c>
      <c r="CL7">
        <v>64.75</v>
      </c>
      <c r="CN7">
        <v>36.75</v>
      </c>
      <c r="CO7">
        <v>40.25</v>
      </c>
      <c r="CP7">
        <v>43.75</v>
      </c>
      <c r="CQ7">
        <v>47.25</v>
      </c>
      <c r="CR7">
        <v>50.75</v>
      </c>
      <c r="CS7">
        <v>54.25</v>
      </c>
      <c r="CT7">
        <v>57.75</v>
      </c>
      <c r="CU7">
        <v>61.25</v>
      </c>
      <c r="CV7">
        <v>64.75</v>
      </c>
      <c r="CX7">
        <v>36.75</v>
      </c>
      <c r="CY7">
        <v>40.25</v>
      </c>
      <c r="CZ7">
        <v>43.75</v>
      </c>
      <c r="DA7">
        <v>47.25</v>
      </c>
      <c r="DB7">
        <v>50.75</v>
      </c>
      <c r="DC7">
        <v>54.25</v>
      </c>
      <c r="DD7">
        <v>57.75</v>
      </c>
      <c r="DE7">
        <v>61.25</v>
      </c>
      <c r="DF7">
        <v>64.75</v>
      </c>
      <c r="DH7">
        <v>36.75</v>
      </c>
      <c r="DI7">
        <v>40.25</v>
      </c>
      <c r="DJ7">
        <v>43.75</v>
      </c>
      <c r="DK7">
        <v>47.25</v>
      </c>
      <c r="DL7">
        <v>50.75</v>
      </c>
      <c r="DM7">
        <v>54.25</v>
      </c>
      <c r="DN7">
        <v>57.75</v>
      </c>
      <c r="DO7">
        <v>61.25</v>
      </c>
      <c r="DP7">
        <v>64.75</v>
      </c>
      <c r="DR7">
        <v>36.75</v>
      </c>
      <c r="DS7">
        <v>40.25</v>
      </c>
      <c r="DT7">
        <v>43.75</v>
      </c>
      <c r="DU7">
        <v>47.25</v>
      </c>
      <c r="DV7">
        <v>50.75</v>
      </c>
      <c r="DW7">
        <v>54.25</v>
      </c>
      <c r="DX7">
        <v>57.75</v>
      </c>
      <c r="DY7">
        <v>61.25</v>
      </c>
      <c r="DZ7">
        <v>64.75</v>
      </c>
      <c r="EB7">
        <v>36.75</v>
      </c>
      <c r="EC7">
        <v>40.25</v>
      </c>
      <c r="ED7">
        <v>43.75</v>
      </c>
      <c r="EE7">
        <v>47.25</v>
      </c>
      <c r="EF7">
        <v>50.75</v>
      </c>
      <c r="EG7">
        <v>54.25</v>
      </c>
      <c r="EH7">
        <v>57.75</v>
      </c>
      <c r="EI7">
        <v>61.25</v>
      </c>
      <c r="EJ7">
        <v>64.75</v>
      </c>
      <c r="EL7">
        <v>36.75</v>
      </c>
      <c r="EM7">
        <v>40.25</v>
      </c>
      <c r="EN7">
        <v>43.75</v>
      </c>
      <c r="EO7">
        <v>47.25</v>
      </c>
      <c r="EP7">
        <v>50.75</v>
      </c>
      <c r="EQ7">
        <v>54.25</v>
      </c>
      <c r="ER7">
        <v>57.75</v>
      </c>
      <c r="ES7">
        <v>61.25</v>
      </c>
      <c r="ET7">
        <v>64.75</v>
      </c>
      <c r="EV7">
        <v>36.75</v>
      </c>
      <c r="EW7">
        <v>40.25</v>
      </c>
      <c r="EX7">
        <v>43.75</v>
      </c>
      <c r="EY7">
        <v>47.25</v>
      </c>
      <c r="EZ7">
        <v>50.75</v>
      </c>
      <c r="FA7">
        <v>54.25</v>
      </c>
      <c r="FB7">
        <v>57.75</v>
      </c>
      <c r="FC7">
        <v>61.25</v>
      </c>
      <c r="FD7">
        <v>64.75</v>
      </c>
      <c r="FF7">
        <v>36.75</v>
      </c>
      <c r="FG7">
        <v>40.25</v>
      </c>
      <c r="FH7">
        <v>43.75</v>
      </c>
      <c r="FI7">
        <v>47.25</v>
      </c>
      <c r="FJ7">
        <v>50.75</v>
      </c>
      <c r="FK7">
        <v>54.25</v>
      </c>
      <c r="FL7">
        <v>57.75</v>
      </c>
      <c r="FM7">
        <v>61.25</v>
      </c>
      <c r="FN7">
        <v>64.75</v>
      </c>
      <c r="FP7">
        <v>36.75</v>
      </c>
      <c r="FQ7">
        <v>40.25</v>
      </c>
      <c r="FR7">
        <v>43.75</v>
      </c>
      <c r="FS7">
        <v>47.25</v>
      </c>
      <c r="FT7">
        <v>50.75</v>
      </c>
      <c r="FU7">
        <v>54.25</v>
      </c>
      <c r="FV7">
        <v>57.75</v>
      </c>
      <c r="FW7">
        <v>61.25</v>
      </c>
      <c r="FX7">
        <v>64.75</v>
      </c>
      <c r="FZ7">
        <v>36.75</v>
      </c>
      <c r="GA7">
        <v>40.25</v>
      </c>
      <c r="GB7">
        <v>43.75</v>
      </c>
      <c r="GC7">
        <v>47.25</v>
      </c>
      <c r="GD7">
        <v>50.75</v>
      </c>
      <c r="GE7">
        <v>54.25</v>
      </c>
      <c r="GF7">
        <v>57.75</v>
      </c>
      <c r="GG7">
        <v>61.25</v>
      </c>
      <c r="GH7">
        <v>64.75</v>
      </c>
      <c r="GJ7">
        <v>36.75</v>
      </c>
      <c r="GK7">
        <v>40.25</v>
      </c>
      <c r="GL7">
        <v>43.75</v>
      </c>
      <c r="GM7">
        <v>47.25</v>
      </c>
      <c r="GN7">
        <v>50.75</v>
      </c>
      <c r="GO7">
        <v>54.25</v>
      </c>
      <c r="GP7">
        <v>57.75</v>
      </c>
      <c r="GQ7">
        <v>61.25</v>
      </c>
      <c r="GR7">
        <v>64.75</v>
      </c>
      <c r="GS7">
        <v>68.25</v>
      </c>
    </row>
    <row r="9" spans="1:201">
      <c r="B9">
        <v>90</v>
      </c>
      <c r="C9">
        <v>90</v>
      </c>
      <c r="D9">
        <v>90</v>
      </c>
      <c r="E9">
        <v>90</v>
      </c>
      <c r="F9">
        <v>90</v>
      </c>
      <c r="G9">
        <v>90</v>
      </c>
      <c r="H9">
        <v>90</v>
      </c>
      <c r="I9">
        <v>90</v>
      </c>
      <c r="J9">
        <v>90</v>
      </c>
      <c r="L9">
        <v>74.054604099077153</v>
      </c>
      <c r="M9">
        <v>75.379126011368342</v>
      </c>
      <c r="N9">
        <v>76.504266719204196</v>
      </c>
      <c r="O9">
        <v>77.471192290848492</v>
      </c>
      <c r="P9">
        <v>78.310630824560818</v>
      </c>
      <c r="Q9">
        <v>79.045937356601669</v>
      </c>
      <c r="R9">
        <v>79.69515353123397</v>
      </c>
      <c r="S9">
        <v>80.272421448598394</v>
      </c>
      <c r="T9">
        <v>80.788973459183325</v>
      </c>
      <c r="V9">
        <v>158.74949449286677</v>
      </c>
      <c r="W9">
        <v>130.60129464500446</v>
      </c>
      <c r="X9">
        <v>117.21611155730747</v>
      </c>
      <c r="Y9">
        <v>110.1706534118504</v>
      </c>
      <c r="Z9">
        <v>105.94539590092285</v>
      </c>
      <c r="AA9">
        <v>103.1575427400148</v>
      </c>
      <c r="AB9">
        <v>101.18879992825181</v>
      </c>
      <c r="AC9">
        <v>99.727578551401606</v>
      </c>
      <c r="AD9">
        <v>98.601384858714894</v>
      </c>
      <c r="AF9">
        <v>9.4623222080256166</v>
      </c>
      <c r="AG9">
        <v>26.56505117707799</v>
      </c>
      <c r="AH9">
        <v>39.805571092265197</v>
      </c>
      <c r="AI9">
        <v>49.398705354995535</v>
      </c>
      <c r="AJ9">
        <v>56.309932474020215</v>
      </c>
      <c r="AK9">
        <v>61.389540334034791</v>
      </c>
      <c r="AL9">
        <v>65.224859431168085</v>
      </c>
      <c r="AM9">
        <v>68.198590513648185</v>
      </c>
      <c r="AN9">
        <v>70.559965171823805</v>
      </c>
      <c r="AP9">
        <v>97.707485722964975</v>
      </c>
      <c r="AQ9">
        <v>98.601384858714894</v>
      </c>
      <c r="AR9">
        <v>99.727578551401606</v>
      </c>
      <c r="AS9">
        <v>101.18879992825181</v>
      </c>
      <c r="AT9">
        <v>103.1575427400148</v>
      </c>
      <c r="AU9">
        <v>105.94539590092285</v>
      </c>
      <c r="AV9">
        <v>110.1706534118504</v>
      </c>
      <c r="AW9">
        <v>117.21611155730747</v>
      </c>
      <c r="AX9">
        <v>130.60129464500446</v>
      </c>
      <c r="AZ9">
        <v>72.474431626277124</v>
      </c>
      <c r="BA9">
        <v>70.559965171823805</v>
      </c>
      <c r="BB9">
        <v>68.198590513648185</v>
      </c>
      <c r="BC9">
        <v>65.224859431168085</v>
      </c>
      <c r="BD9">
        <v>61.389540334034791</v>
      </c>
      <c r="BE9">
        <v>56.309932474020215</v>
      </c>
      <c r="BF9">
        <v>49.398705354995535</v>
      </c>
      <c r="BG9">
        <v>39.805571092265197</v>
      </c>
      <c r="BH9">
        <v>26.56505117707799</v>
      </c>
      <c r="BJ9">
        <v>93.772283609379841</v>
      </c>
      <c r="BK9">
        <v>93.97555367260351</v>
      </c>
      <c r="BL9">
        <v>94.201936358159628</v>
      </c>
      <c r="BM9">
        <v>94.45560283332631</v>
      </c>
      <c r="BN9">
        <v>94.741789754519047</v>
      </c>
      <c r="BO9">
        <v>95.067161725853197</v>
      </c>
      <c r="BP9">
        <v>95.440332031005511</v>
      </c>
      <c r="BQ9">
        <v>95.872628281066795</v>
      </c>
      <c r="BR9">
        <v>96.379248167613127</v>
      </c>
      <c r="BT9">
        <v>81.253837737444798</v>
      </c>
      <c r="BU9">
        <v>80.788973459183325</v>
      </c>
      <c r="BV9">
        <v>80.272421448598394</v>
      </c>
      <c r="BW9">
        <v>79.69515353123397</v>
      </c>
      <c r="BX9">
        <v>79.045937356601669</v>
      </c>
      <c r="BY9">
        <v>78.310630824560818</v>
      </c>
      <c r="BZ9">
        <v>77.471192290848492</v>
      </c>
      <c r="CA9">
        <v>76.504266719204196</v>
      </c>
      <c r="CB9">
        <v>75.379126011368342</v>
      </c>
      <c r="CD9">
        <v>92.495573283384275</v>
      </c>
      <c r="CE9">
        <v>92.583020668635058</v>
      </c>
      <c r="CF9">
        <v>92.676814467086473</v>
      </c>
      <c r="CG9">
        <v>92.777671007885871</v>
      </c>
      <c r="CH9">
        <v>92.886418543864607</v>
      </c>
      <c r="CI9">
        <v>93.004019978695069</v>
      </c>
      <c r="CJ9">
        <v>93.131601360621062</v>
      </c>
      <c r="CK9">
        <v>93.270487923183552</v>
      </c>
      <c r="CL9">
        <v>93.422250109783747</v>
      </c>
      <c r="CN9">
        <v>84.193273094468424</v>
      </c>
      <c r="CO9">
        <v>83.990994042505477</v>
      </c>
      <c r="CP9">
        <v>83.774170935574233</v>
      </c>
      <c r="CQ9">
        <v>83.541183621281348</v>
      </c>
      <c r="CR9">
        <v>83.290163192243071</v>
      </c>
      <c r="CS9">
        <v>83.018942593170209</v>
      </c>
      <c r="CT9">
        <v>82.724995042110748</v>
      </c>
      <c r="CU9">
        <v>82.405356631408566</v>
      </c>
      <c r="CV9">
        <v>82.056528189409605</v>
      </c>
      <c r="CX9">
        <v>96.981057406829791</v>
      </c>
      <c r="CY9">
        <v>96.379248167613127</v>
      </c>
      <c r="CZ9">
        <v>95.872628281066795</v>
      </c>
      <c r="DA9">
        <v>95.440332031005511</v>
      </c>
      <c r="DB9">
        <v>95.067161725853197</v>
      </c>
      <c r="DC9">
        <v>94.741789754519047</v>
      </c>
      <c r="DD9">
        <v>94.45560283332631</v>
      </c>
      <c r="DE9">
        <v>94.201936358159628</v>
      </c>
      <c r="DF9">
        <v>93.97555367260351</v>
      </c>
      <c r="DH9">
        <v>74.054604099077153</v>
      </c>
      <c r="DI9">
        <v>75.379126011368342</v>
      </c>
      <c r="DJ9">
        <v>76.504266719204196</v>
      </c>
      <c r="DK9">
        <v>77.471192290848492</v>
      </c>
      <c r="DL9">
        <v>78.310630824560818</v>
      </c>
      <c r="DM9">
        <v>79.045937356601669</v>
      </c>
      <c r="DN9">
        <v>79.69515353123397</v>
      </c>
      <c r="DO9">
        <v>80.272421448598394</v>
      </c>
      <c r="DP9">
        <v>80.788973459183325</v>
      </c>
      <c r="DR9">
        <v>158.74949449286677</v>
      </c>
      <c r="DS9">
        <v>130.60129464500446</v>
      </c>
      <c r="DT9">
        <v>117.21611155730747</v>
      </c>
      <c r="DU9">
        <v>110.1706534118504</v>
      </c>
      <c r="DV9">
        <v>105.94539590092285</v>
      </c>
      <c r="DW9">
        <v>103.1575427400148</v>
      </c>
      <c r="DX9">
        <v>101.18879992825181</v>
      </c>
      <c r="DY9">
        <v>99.727578551401606</v>
      </c>
      <c r="DZ9">
        <v>98.601384858714894</v>
      </c>
      <c r="EB9">
        <v>9.4623222080256166</v>
      </c>
      <c r="EC9">
        <v>26.56505117707799</v>
      </c>
      <c r="ED9">
        <v>39.805571092265197</v>
      </c>
      <c r="EE9">
        <v>49.398705354995535</v>
      </c>
      <c r="EF9">
        <v>56.309932474020215</v>
      </c>
      <c r="EG9">
        <v>61.389540334034791</v>
      </c>
      <c r="EH9">
        <v>65.224859431168085</v>
      </c>
      <c r="EI9">
        <v>68.198590513648185</v>
      </c>
      <c r="EJ9">
        <v>70.559965171823805</v>
      </c>
      <c r="EL9">
        <v>97.707485722964975</v>
      </c>
      <c r="EM9">
        <v>98.601384858714894</v>
      </c>
      <c r="EN9">
        <v>99.727578551401606</v>
      </c>
      <c r="EO9">
        <v>101.18879992825181</v>
      </c>
      <c r="EP9">
        <v>103.1575427400148</v>
      </c>
      <c r="EQ9">
        <v>105.94539590092285</v>
      </c>
      <c r="ER9">
        <v>110.1706534118504</v>
      </c>
      <c r="ES9">
        <v>117.21611155730747</v>
      </c>
      <c r="ET9">
        <v>130.60129464500446</v>
      </c>
      <c r="EV9">
        <v>72.474431626277124</v>
      </c>
      <c r="EW9">
        <v>70.559965171823805</v>
      </c>
      <c r="EX9">
        <v>68.198590513648185</v>
      </c>
      <c r="EY9">
        <v>65.224859431168085</v>
      </c>
      <c r="EZ9">
        <v>61.389540334034791</v>
      </c>
      <c r="FA9">
        <v>56.309932474020215</v>
      </c>
      <c r="FB9">
        <v>49.398705354995535</v>
      </c>
      <c r="FC9">
        <v>39.805571092265197</v>
      </c>
      <c r="FD9">
        <v>26.56505117707799</v>
      </c>
      <c r="FF9">
        <v>93.772283609379841</v>
      </c>
      <c r="FG9">
        <v>93.97555367260351</v>
      </c>
      <c r="FH9">
        <v>94.201936358159628</v>
      </c>
      <c r="FI9">
        <v>94.45560283332631</v>
      </c>
      <c r="FJ9">
        <v>94.741789754519047</v>
      </c>
      <c r="FK9">
        <v>95.067161725853197</v>
      </c>
      <c r="FL9">
        <v>95.440332031005511</v>
      </c>
      <c r="FM9">
        <v>95.872628281066795</v>
      </c>
      <c r="FN9">
        <v>96.379248167613127</v>
      </c>
      <c r="FP9">
        <v>81.253837737444798</v>
      </c>
      <c r="FQ9">
        <v>80.788973459183325</v>
      </c>
      <c r="FR9">
        <v>80.272421448598394</v>
      </c>
      <c r="FS9">
        <v>79.69515353123397</v>
      </c>
      <c r="FT9">
        <v>79.045937356601669</v>
      </c>
      <c r="FU9">
        <v>78.310630824560818</v>
      </c>
      <c r="FV9">
        <v>77.471192290848492</v>
      </c>
      <c r="FW9">
        <v>76.504266719204196</v>
      </c>
      <c r="FX9">
        <v>75.379126011368342</v>
      </c>
      <c r="FZ9">
        <v>92.495573283384275</v>
      </c>
      <c r="GA9">
        <v>92.583020668635058</v>
      </c>
      <c r="GB9">
        <v>92.676814467086473</v>
      </c>
      <c r="GC9">
        <v>92.777671007885871</v>
      </c>
      <c r="GD9">
        <v>92.886418543864607</v>
      </c>
      <c r="GE9">
        <v>93.004019978695069</v>
      </c>
      <c r="GF9">
        <v>93.131601360621062</v>
      </c>
      <c r="GG9">
        <v>93.270487923183552</v>
      </c>
      <c r="GH9">
        <v>93.422250109783747</v>
      </c>
      <c r="GJ9">
        <v>84.193273094468424</v>
      </c>
      <c r="GK9">
        <v>83.990994042505477</v>
      </c>
      <c r="GL9">
        <v>83.774170935574233</v>
      </c>
      <c r="GM9">
        <v>83.541183621281348</v>
      </c>
      <c r="GN9">
        <v>83.290163192243071</v>
      </c>
      <c r="GO9">
        <v>83.018942593170209</v>
      </c>
      <c r="GP9">
        <v>82.724995042110748</v>
      </c>
      <c r="GQ9">
        <v>82.405356631408566</v>
      </c>
      <c r="GR9">
        <v>82.056528189409605</v>
      </c>
      <c r="GS9">
        <v>81.674349669573161</v>
      </c>
    </row>
    <row r="10" spans="1:201">
      <c r="B10">
        <v>90</v>
      </c>
      <c r="C10">
        <v>90</v>
      </c>
      <c r="D10">
        <v>90</v>
      </c>
      <c r="E10">
        <v>90</v>
      </c>
      <c r="F10">
        <v>90</v>
      </c>
      <c r="G10">
        <v>90</v>
      </c>
      <c r="H10">
        <v>90</v>
      </c>
      <c r="I10">
        <v>90</v>
      </c>
      <c r="J10">
        <v>90</v>
      </c>
      <c r="L10">
        <v>76.976920329395014</v>
      </c>
      <c r="M10">
        <v>78.075476062388091</v>
      </c>
      <c r="N10">
        <v>79.005222650707879</v>
      </c>
      <c r="O10">
        <v>79.801899154376599</v>
      </c>
      <c r="P10">
        <v>80.491914399539084</v>
      </c>
      <c r="Q10">
        <v>81.095179009677949</v>
      </c>
      <c r="R10">
        <v>81.626973325217605</v>
      </c>
      <c r="S10">
        <v>82.099210576160203</v>
      </c>
      <c r="T10">
        <v>82.52131049185175</v>
      </c>
      <c r="V10">
        <v>145.00797980144134</v>
      </c>
      <c r="W10">
        <v>115.46334506187161</v>
      </c>
      <c r="X10">
        <v>105.94539590092285</v>
      </c>
      <c r="Y10">
        <v>101.53462065364472</v>
      </c>
      <c r="Z10">
        <v>99.019322431381681</v>
      </c>
      <c r="AA10">
        <v>97.3995946598871</v>
      </c>
      <c r="AB10">
        <v>96.271077449501135</v>
      </c>
      <c r="AC10">
        <v>95.440332031005511</v>
      </c>
      <c r="AD10">
        <v>94.803485759069076</v>
      </c>
      <c r="AF10">
        <v>11.633633998940436</v>
      </c>
      <c r="AG10">
        <v>31.701429669505718</v>
      </c>
      <c r="AH10">
        <v>45.830315486258016</v>
      </c>
      <c r="AI10">
        <v>55.244087446458629</v>
      </c>
      <c r="AJ10">
        <v>61.645038214675942</v>
      </c>
      <c r="AK10">
        <v>66.17573941710458</v>
      </c>
      <c r="AL10">
        <v>69.512985806669306</v>
      </c>
      <c r="AM10">
        <v>72.057552910841338</v>
      </c>
      <c r="AN10">
        <v>74.054604099077153</v>
      </c>
      <c r="AP10">
        <v>94.299862820192061</v>
      </c>
      <c r="AQ10">
        <v>94.803485759069076</v>
      </c>
      <c r="AR10">
        <v>95.440332031005511</v>
      </c>
      <c r="AS10">
        <v>96.271077449501135</v>
      </c>
      <c r="AT10">
        <v>97.3995946598871</v>
      </c>
      <c r="AU10">
        <v>99.019322431381681</v>
      </c>
      <c r="AV10">
        <v>101.53462065364472</v>
      </c>
      <c r="AW10">
        <v>105.94539590092285</v>
      </c>
      <c r="AX10">
        <v>115.46334506187161</v>
      </c>
      <c r="AZ10">
        <v>75.660071498657757</v>
      </c>
      <c r="BA10">
        <v>74.054604099077153</v>
      </c>
      <c r="BB10">
        <v>72.057552910841338</v>
      </c>
      <c r="BC10">
        <v>69.512985806669306</v>
      </c>
      <c r="BD10">
        <v>66.17573941710458</v>
      </c>
      <c r="BE10">
        <v>61.645038214675942</v>
      </c>
      <c r="BF10">
        <v>55.244087446458629</v>
      </c>
      <c r="BG10">
        <v>45.830315486258016</v>
      </c>
      <c r="BH10">
        <v>31.701429669505718</v>
      </c>
      <c r="BJ10">
        <v>92.097808586192144</v>
      </c>
      <c r="BK10">
        <v>92.211093977171075</v>
      </c>
      <c r="BL10">
        <v>92.337305859123816</v>
      </c>
      <c r="BM10">
        <v>92.478789108578326</v>
      </c>
      <c r="BN10">
        <v>92.638491825411208</v>
      </c>
      <c r="BO10">
        <v>92.820172472448476</v>
      </c>
      <c r="BP10">
        <v>93.028698578340581</v>
      </c>
      <c r="BQ10">
        <v>93.270487923183552</v>
      </c>
      <c r="BR10">
        <v>93.554178235532092</v>
      </c>
      <c r="BT10">
        <v>82.900815831274443</v>
      </c>
      <c r="BU10">
        <v>82.52131049185175</v>
      </c>
      <c r="BV10">
        <v>82.099210576160203</v>
      </c>
      <c r="BW10">
        <v>81.626973325217605</v>
      </c>
      <c r="BX10">
        <v>81.095179009677949</v>
      </c>
      <c r="BY10">
        <v>80.491914399539084</v>
      </c>
      <c r="BZ10">
        <v>79.801899154376599</v>
      </c>
      <c r="CA10">
        <v>79.005222650707879</v>
      </c>
      <c r="CB10">
        <v>78.075476062388091</v>
      </c>
      <c r="CD10">
        <v>91.38703599178065</v>
      </c>
      <c r="CE10">
        <v>91.435683897341747</v>
      </c>
      <c r="CF10">
        <v>91.487867528827778</v>
      </c>
      <c r="CG10">
        <v>91.543986789797515</v>
      </c>
      <c r="CH10">
        <v>91.604504237562352</v>
      </c>
      <c r="CI10">
        <v>91.669957849874166</v>
      </c>
      <c r="CJ10">
        <v>91.740977044928329</v>
      </c>
      <c r="CK10">
        <v>91.818302964451831</v>
      </c>
      <c r="CL10">
        <v>91.902814404315023</v>
      </c>
      <c r="CN10">
        <v>85.2937688907747</v>
      </c>
      <c r="CO10">
        <v>85.129418985999436</v>
      </c>
      <c r="CP10">
        <v>84.953205709224832</v>
      </c>
      <c r="CQ10">
        <v>84.763800178999929</v>
      </c>
      <c r="CR10">
        <v>84.559667968994489</v>
      </c>
      <c r="CS10">
        <v>84.339027906254657</v>
      </c>
      <c r="CT10">
        <v>84.099800582725166</v>
      </c>
      <c r="CU10">
        <v>83.839543466409395</v>
      </c>
      <c r="CV10">
        <v>83.55536837794223</v>
      </c>
      <c r="CX10">
        <v>93.891676294080753</v>
      </c>
      <c r="CY10">
        <v>93.554178235532092</v>
      </c>
      <c r="CZ10">
        <v>93.270487923183552</v>
      </c>
      <c r="DA10">
        <v>93.028698578340581</v>
      </c>
      <c r="DB10">
        <v>92.820172472448476</v>
      </c>
      <c r="DC10">
        <v>92.638491825411208</v>
      </c>
      <c r="DD10">
        <v>92.478789108578326</v>
      </c>
      <c r="DE10">
        <v>92.337305859123816</v>
      </c>
      <c r="DF10">
        <v>92.211093977171075</v>
      </c>
      <c r="DH10">
        <v>76.976920329395014</v>
      </c>
      <c r="DI10">
        <v>78.075476062388091</v>
      </c>
      <c r="DJ10">
        <v>79.005222650707879</v>
      </c>
      <c r="DK10">
        <v>79.801899154376599</v>
      </c>
      <c r="DL10">
        <v>80.491914399539084</v>
      </c>
      <c r="DM10">
        <v>81.095179009677949</v>
      </c>
      <c r="DN10">
        <v>81.626973325217605</v>
      </c>
      <c r="DO10">
        <v>82.099210576160203</v>
      </c>
      <c r="DP10">
        <v>82.52131049185175</v>
      </c>
      <c r="DR10">
        <v>145.00797980144134</v>
      </c>
      <c r="DS10">
        <v>115.46334506187161</v>
      </c>
      <c r="DT10">
        <v>105.94539590092285</v>
      </c>
      <c r="DU10">
        <v>101.53462065364472</v>
      </c>
      <c r="DV10">
        <v>99.019322431381681</v>
      </c>
      <c r="DW10">
        <v>97.3995946598871</v>
      </c>
      <c r="DX10">
        <v>96.271077449501135</v>
      </c>
      <c r="DY10">
        <v>95.440332031005511</v>
      </c>
      <c r="DZ10">
        <v>94.803485759069076</v>
      </c>
      <c r="EB10">
        <v>11.633633998940436</v>
      </c>
      <c r="EC10">
        <v>31.701429669505718</v>
      </c>
      <c r="ED10">
        <v>45.830315486258016</v>
      </c>
      <c r="EE10">
        <v>55.244087446458629</v>
      </c>
      <c r="EF10">
        <v>61.645038214675942</v>
      </c>
      <c r="EG10">
        <v>66.17573941710458</v>
      </c>
      <c r="EH10">
        <v>69.512985806669306</v>
      </c>
      <c r="EI10">
        <v>72.057552910841338</v>
      </c>
      <c r="EJ10">
        <v>74.054604099077153</v>
      </c>
      <c r="EL10">
        <v>94.299862820192061</v>
      </c>
      <c r="EM10">
        <v>94.803485759069076</v>
      </c>
      <c r="EN10">
        <v>95.440332031005511</v>
      </c>
      <c r="EO10">
        <v>96.271077449501135</v>
      </c>
      <c r="EP10">
        <v>97.3995946598871</v>
      </c>
      <c r="EQ10">
        <v>99.019322431381681</v>
      </c>
      <c r="ER10">
        <v>101.53462065364472</v>
      </c>
      <c r="ES10">
        <v>105.94539590092285</v>
      </c>
      <c r="ET10">
        <v>115.46334506187161</v>
      </c>
      <c r="EV10">
        <v>75.660071498657757</v>
      </c>
      <c r="EW10">
        <v>74.054604099077153</v>
      </c>
      <c r="EX10">
        <v>72.057552910841338</v>
      </c>
      <c r="EY10">
        <v>69.512985806669306</v>
      </c>
      <c r="EZ10">
        <v>66.17573941710458</v>
      </c>
      <c r="FA10">
        <v>61.645038214675942</v>
      </c>
      <c r="FB10">
        <v>55.244087446458629</v>
      </c>
      <c r="FC10">
        <v>45.830315486258016</v>
      </c>
      <c r="FD10">
        <v>31.701429669505718</v>
      </c>
      <c r="FF10">
        <v>92.097808586192144</v>
      </c>
      <c r="FG10">
        <v>92.211093977171075</v>
      </c>
      <c r="FH10">
        <v>92.337305859123816</v>
      </c>
      <c r="FI10">
        <v>92.478789108578326</v>
      </c>
      <c r="FJ10">
        <v>92.638491825411208</v>
      </c>
      <c r="FK10">
        <v>92.820172472448476</v>
      </c>
      <c r="FL10">
        <v>93.028698578340581</v>
      </c>
      <c r="FM10">
        <v>93.270487923183552</v>
      </c>
      <c r="FN10">
        <v>93.554178235532092</v>
      </c>
      <c r="FP10">
        <v>82.900815831274443</v>
      </c>
      <c r="FQ10">
        <v>82.52131049185175</v>
      </c>
      <c r="FR10">
        <v>82.099210576160203</v>
      </c>
      <c r="FS10">
        <v>81.626973325217605</v>
      </c>
      <c r="FT10">
        <v>81.095179009677949</v>
      </c>
      <c r="FU10">
        <v>80.491914399539084</v>
      </c>
      <c r="FV10">
        <v>79.801899154376599</v>
      </c>
      <c r="FW10">
        <v>79.005222650707879</v>
      </c>
      <c r="FX10">
        <v>78.075476062388091</v>
      </c>
      <c r="FZ10">
        <v>91.38703599178065</v>
      </c>
      <c r="GA10">
        <v>91.435683897341747</v>
      </c>
      <c r="GB10">
        <v>91.487867528827778</v>
      </c>
      <c r="GC10">
        <v>91.543986789797515</v>
      </c>
      <c r="GD10">
        <v>91.604504237562352</v>
      </c>
      <c r="GE10">
        <v>91.669957849874166</v>
      </c>
      <c r="GF10">
        <v>91.740977044928329</v>
      </c>
      <c r="GG10">
        <v>91.818302964451831</v>
      </c>
      <c r="GH10">
        <v>91.902814404315023</v>
      </c>
      <c r="GJ10">
        <v>85.2937688907747</v>
      </c>
      <c r="GK10">
        <v>85.129418985999436</v>
      </c>
      <c r="GL10">
        <v>84.953205709224832</v>
      </c>
      <c r="GM10">
        <v>84.763800178999929</v>
      </c>
      <c r="GN10">
        <v>84.559667968994489</v>
      </c>
      <c r="GO10">
        <v>84.339027906254657</v>
      </c>
      <c r="GP10">
        <v>84.099800582725166</v>
      </c>
      <c r="GQ10">
        <v>83.839543466409395</v>
      </c>
      <c r="GR10">
        <v>83.55536837794223</v>
      </c>
      <c r="GS10">
        <v>83.243835505138421</v>
      </c>
    </row>
    <row r="11" spans="1:201">
      <c r="B11">
        <v>90</v>
      </c>
      <c r="C11">
        <v>90</v>
      </c>
      <c r="D11">
        <v>90</v>
      </c>
      <c r="E11">
        <v>90</v>
      </c>
      <c r="F11">
        <v>90</v>
      </c>
      <c r="G11">
        <v>90</v>
      </c>
      <c r="H11">
        <v>90</v>
      </c>
      <c r="I11">
        <v>90</v>
      </c>
      <c r="J11">
        <v>90</v>
      </c>
      <c r="L11">
        <v>79.969786680267163</v>
      </c>
      <c r="M11">
        <v>80.826464557718083</v>
      </c>
      <c r="N11">
        <v>81.549301106397948</v>
      </c>
      <c r="O11">
        <v>82.167204433765363</v>
      </c>
      <c r="P11">
        <v>82.701360608259719</v>
      </c>
      <c r="Q11">
        <v>83.167638322583016</v>
      </c>
      <c r="R11">
        <v>83.578151616482472</v>
      </c>
      <c r="S11">
        <v>83.942304205479005</v>
      </c>
      <c r="T11">
        <v>84.267504807178383</v>
      </c>
      <c r="V11">
        <v>105.94539590092285</v>
      </c>
      <c r="W11">
        <v>95.440332031005511</v>
      </c>
      <c r="X11">
        <v>93.270487923183552</v>
      </c>
      <c r="Y11">
        <v>92.337305859123816</v>
      </c>
      <c r="Z11">
        <v>91.818302964451831</v>
      </c>
      <c r="AA11">
        <v>91.487867528827778</v>
      </c>
      <c r="AB11">
        <v>91.259045207175262</v>
      </c>
      <c r="AC11">
        <v>91.091216225262585</v>
      </c>
      <c r="AD11">
        <v>90.962863625636217</v>
      </c>
      <c r="AF11">
        <v>15.068488159492208</v>
      </c>
      <c r="AG11">
        <v>38.927543592792304</v>
      </c>
      <c r="AH11">
        <v>53.392925187392507</v>
      </c>
      <c r="AI11">
        <v>62.049030972109826</v>
      </c>
      <c r="AJ11">
        <v>67.574138078648204</v>
      </c>
      <c r="AK11">
        <v>71.342111525880469</v>
      </c>
      <c r="AL11">
        <v>74.054604099077153</v>
      </c>
      <c r="AM11">
        <v>76.092222190145307</v>
      </c>
      <c r="AN11">
        <v>77.675272565862628</v>
      </c>
      <c r="AP11">
        <v>90.861525734567252</v>
      </c>
      <c r="AQ11">
        <v>90.962863625636217</v>
      </c>
      <c r="AR11">
        <v>91.091216225262585</v>
      </c>
      <c r="AS11">
        <v>91.259045207175262</v>
      </c>
      <c r="AT11">
        <v>91.487867528827778</v>
      </c>
      <c r="AU11">
        <v>91.818302964451831</v>
      </c>
      <c r="AV11">
        <v>92.337305859123816</v>
      </c>
      <c r="AW11">
        <v>93.270487923183552</v>
      </c>
      <c r="AX11">
        <v>95.440332031005511</v>
      </c>
      <c r="AZ11">
        <v>78.938817538408202</v>
      </c>
      <c r="BA11">
        <v>77.675272565862628</v>
      </c>
      <c r="BB11">
        <v>76.092222190145307</v>
      </c>
      <c r="BC11">
        <v>74.054604099077153</v>
      </c>
      <c r="BD11">
        <v>71.342111525880469</v>
      </c>
      <c r="BE11">
        <v>67.574138078648204</v>
      </c>
      <c r="BF11">
        <v>62.049030972109826</v>
      </c>
      <c r="BG11">
        <v>53.392925187392507</v>
      </c>
      <c r="BH11">
        <v>38.927543592792304</v>
      </c>
      <c r="BJ11">
        <v>90.419741791335326</v>
      </c>
      <c r="BK11">
        <v>90.442429658039472</v>
      </c>
      <c r="BL11">
        <v>90.467710260038515</v>
      </c>
      <c r="BM11">
        <v>90.496054960395242</v>
      </c>
      <c r="BN11">
        <v>90.52805674890017</v>
      </c>
      <c r="BO11">
        <v>90.56447217530696</v>
      </c>
      <c r="BP11">
        <v>90.606281915517343</v>
      </c>
      <c r="BQ11">
        <v>90.65478040226769</v>
      </c>
      <c r="BR11">
        <v>90.711712206035685</v>
      </c>
      <c r="BT11">
        <v>84.559667968994489</v>
      </c>
      <c r="BU11">
        <v>84.267504807178383</v>
      </c>
      <c r="BV11">
        <v>83.942304205479005</v>
      </c>
      <c r="BW11">
        <v>83.578151616482472</v>
      </c>
      <c r="BX11">
        <v>83.167638322583016</v>
      </c>
      <c r="BY11">
        <v>82.701360608259719</v>
      </c>
      <c r="BZ11">
        <v>82.167204433765363</v>
      </c>
      <c r="CA11">
        <v>81.549301106397948</v>
      </c>
      <c r="CB11">
        <v>80.826464557718083</v>
      </c>
      <c r="CD11">
        <v>90.277459233122514</v>
      </c>
      <c r="CE11">
        <v>90.287194484507168</v>
      </c>
      <c r="CF11">
        <v>90.297637735723498</v>
      </c>
      <c r="CG11">
        <v>90.308869134751902</v>
      </c>
      <c r="CH11">
        <v>90.320981401193578</v>
      </c>
      <c r="CI11">
        <v>90.334082391748538</v>
      </c>
      <c r="CJ11">
        <v>90.348298320658742</v>
      </c>
      <c r="CK11">
        <v>90.363777838864564</v>
      </c>
      <c r="CL11">
        <v>90.380697251426767</v>
      </c>
      <c r="CN11">
        <v>86.39775556669359</v>
      </c>
      <c r="CO11">
        <v>86.271711495818764</v>
      </c>
      <c r="CP11">
        <v>86.136540779117155</v>
      </c>
      <c r="CQ11">
        <v>85.991216594772396</v>
      </c>
      <c r="CR11">
        <v>85.834552368700145</v>
      </c>
      <c r="CS11">
        <v>85.665169512090998</v>
      </c>
      <c r="CT11">
        <v>85.481457028533526</v>
      </c>
      <c r="CU11">
        <v>85.281520501323513</v>
      </c>
      <c r="CV11">
        <v>85.0631170629905</v>
      </c>
      <c r="CX11">
        <v>90.779486321118469</v>
      </c>
      <c r="CY11">
        <v>90.711712206035685</v>
      </c>
      <c r="CZ11">
        <v>90.65478040226769</v>
      </c>
      <c r="DA11">
        <v>90.606281915517343</v>
      </c>
      <c r="DB11">
        <v>90.56447217530696</v>
      </c>
      <c r="DC11">
        <v>90.52805674890017</v>
      </c>
      <c r="DD11">
        <v>90.496054960395242</v>
      </c>
      <c r="DE11">
        <v>90.467710260038515</v>
      </c>
      <c r="DF11">
        <v>90.442429658039472</v>
      </c>
      <c r="DH11">
        <v>79.969786680267163</v>
      </c>
      <c r="DI11">
        <v>80.826464557718083</v>
      </c>
      <c r="DJ11">
        <v>81.549301106397948</v>
      </c>
      <c r="DK11">
        <v>82.167204433765363</v>
      </c>
      <c r="DL11">
        <v>82.701360608259719</v>
      </c>
      <c r="DM11">
        <v>83.167638322583016</v>
      </c>
      <c r="DN11">
        <v>83.578151616482472</v>
      </c>
      <c r="DO11">
        <v>83.942304205479005</v>
      </c>
      <c r="DP11">
        <v>84.267504807178383</v>
      </c>
      <c r="DR11">
        <v>105.94539590092285</v>
      </c>
      <c r="DS11">
        <v>95.440332031005511</v>
      </c>
      <c r="DT11">
        <v>93.270487923183552</v>
      </c>
      <c r="DU11">
        <v>92.337305859123816</v>
      </c>
      <c r="DV11">
        <v>91.818302964451831</v>
      </c>
      <c r="DW11">
        <v>91.487867528827778</v>
      </c>
      <c r="DX11">
        <v>91.259045207175262</v>
      </c>
      <c r="DY11">
        <v>91.091216225262585</v>
      </c>
      <c r="DZ11">
        <v>90.962863625636217</v>
      </c>
      <c r="EB11">
        <v>15.068488159492208</v>
      </c>
      <c r="EC11">
        <v>38.927543592792304</v>
      </c>
      <c r="ED11">
        <v>53.392925187392507</v>
      </c>
      <c r="EE11">
        <v>62.049030972109826</v>
      </c>
      <c r="EF11">
        <v>67.574138078648204</v>
      </c>
      <c r="EG11">
        <v>71.342111525880469</v>
      </c>
      <c r="EH11">
        <v>74.054604099077153</v>
      </c>
      <c r="EI11">
        <v>76.092222190145307</v>
      </c>
      <c r="EJ11">
        <v>77.675272565862628</v>
      </c>
      <c r="EL11">
        <v>90.861525734567252</v>
      </c>
      <c r="EM11">
        <v>90.962863625636217</v>
      </c>
      <c r="EN11">
        <v>91.091216225262585</v>
      </c>
      <c r="EO11">
        <v>91.259045207175262</v>
      </c>
      <c r="EP11">
        <v>91.487867528827778</v>
      </c>
      <c r="EQ11">
        <v>91.818302964451831</v>
      </c>
      <c r="ER11">
        <v>92.337305859123816</v>
      </c>
      <c r="ES11">
        <v>93.270487923183552</v>
      </c>
      <c r="ET11">
        <v>95.440332031005511</v>
      </c>
      <c r="EV11">
        <v>78.938817538408202</v>
      </c>
      <c r="EW11">
        <v>77.675272565862628</v>
      </c>
      <c r="EX11">
        <v>76.092222190145307</v>
      </c>
      <c r="EY11">
        <v>74.054604099077153</v>
      </c>
      <c r="EZ11">
        <v>71.342111525880469</v>
      </c>
      <c r="FA11">
        <v>67.574138078648204</v>
      </c>
      <c r="FB11">
        <v>62.049030972109826</v>
      </c>
      <c r="FC11">
        <v>53.392925187392507</v>
      </c>
      <c r="FD11">
        <v>38.927543592792304</v>
      </c>
      <c r="FF11">
        <v>90.419741791335326</v>
      </c>
      <c r="FG11">
        <v>90.442429658039472</v>
      </c>
      <c r="FH11">
        <v>90.467710260038515</v>
      </c>
      <c r="FI11">
        <v>90.496054960395242</v>
      </c>
      <c r="FJ11">
        <v>90.52805674890017</v>
      </c>
      <c r="FK11">
        <v>90.56447217530696</v>
      </c>
      <c r="FL11">
        <v>90.606281915517343</v>
      </c>
      <c r="FM11">
        <v>90.65478040226769</v>
      </c>
      <c r="FN11">
        <v>90.711712206035685</v>
      </c>
      <c r="FP11">
        <v>84.559667968994489</v>
      </c>
      <c r="FQ11">
        <v>84.267504807178383</v>
      </c>
      <c r="FR11">
        <v>83.942304205479005</v>
      </c>
      <c r="FS11">
        <v>83.578151616482472</v>
      </c>
      <c r="FT11">
        <v>83.167638322583016</v>
      </c>
      <c r="FU11">
        <v>82.701360608259719</v>
      </c>
      <c r="FV11">
        <v>82.167204433765363</v>
      </c>
      <c r="FW11">
        <v>81.549301106397948</v>
      </c>
      <c r="FX11">
        <v>80.826464557718083</v>
      </c>
      <c r="FZ11">
        <v>90.277459233122514</v>
      </c>
      <c r="GA11">
        <v>90.287194484507168</v>
      </c>
      <c r="GB11">
        <v>90.297637735723498</v>
      </c>
      <c r="GC11">
        <v>90.308869134751902</v>
      </c>
      <c r="GD11">
        <v>90.320981401193578</v>
      </c>
      <c r="GE11">
        <v>90.334082391748538</v>
      </c>
      <c r="GF11">
        <v>90.348298320658742</v>
      </c>
      <c r="GG11">
        <v>90.363777838864564</v>
      </c>
      <c r="GH11">
        <v>90.380697251426767</v>
      </c>
      <c r="GJ11">
        <v>86.39775556669359</v>
      </c>
      <c r="GK11">
        <v>86.271711495818764</v>
      </c>
      <c r="GL11">
        <v>86.136540779117155</v>
      </c>
      <c r="GM11">
        <v>85.991216594772396</v>
      </c>
      <c r="GN11">
        <v>85.834552368700145</v>
      </c>
      <c r="GO11">
        <v>85.665169512090998</v>
      </c>
      <c r="GP11">
        <v>85.481457028533526</v>
      </c>
      <c r="GQ11">
        <v>85.281520501323513</v>
      </c>
      <c r="GR11">
        <v>85.0631170629905</v>
      </c>
      <c r="GS11">
        <v>84.82357165074086</v>
      </c>
    </row>
    <row r="12" spans="1:201" s="64" customFormat="1">
      <c r="B12" s="64">
        <v>87.662694140876184</v>
      </c>
      <c r="C12" s="64">
        <v>87.865741237497716</v>
      </c>
      <c r="D12" s="64">
        <v>88.036342465948039</v>
      </c>
      <c r="E12" s="64">
        <v>88.181697035548169</v>
      </c>
      <c r="F12" s="64">
        <v>88.307021562371105</v>
      </c>
      <c r="G12" s="64">
        <v>88.41618842913806</v>
      </c>
      <c r="H12" s="64">
        <v>88.512132471172222</v>
      </c>
      <c r="I12" s="64">
        <v>88.597118467348537</v>
      </c>
      <c r="J12" s="64">
        <v>88.672922009125898</v>
      </c>
      <c r="L12" s="64">
        <v>83.018942593170209</v>
      </c>
      <c r="M12" s="64">
        <v>83.620751832386873</v>
      </c>
      <c r="N12" s="64">
        <v>84.127371718933205</v>
      </c>
      <c r="O12" s="64">
        <v>84.559667968994489</v>
      </c>
      <c r="P12" s="64">
        <v>84.932838274146803</v>
      </c>
      <c r="Q12" s="64">
        <v>85.258210245480953</v>
      </c>
      <c r="R12" s="64">
        <v>85.54439716667369</v>
      </c>
      <c r="S12" s="64">
        <v>85.798063641840372</v>
      </c>
      <c r="T12" s="64">
        <v>86.02444632739649</v>
      </c>
      <c r="V12" s="64">
        <v>49.398705354995535</v>
      </c>
      <c r="W12" s="64">
        <v>74.054604099077153</v>
      </c>
      <c r="X12" s="64">
        <v>80.272421448598394</v>
      </c>
      <c r="Y12" s="64">
        <v>83.018942593170209</v>
      </c>
      <c r="Z12" s="64">
        <v>84.559667968994489</v>
      </c>
      <c r="AA12" s="64">
        <v>85.54439716667369</v>
      </c>
      <c r="AB12" s="64">
        <v>86.227716390620159</v>
      </c>
      <c r="AC12" s="64">
        <v>86.729512076816448</v>
      </c>
      <c r="AD12" s="64">
        <v>87.113581456135393</v>
      </c>
      <c r="AF12" s="64">
        <v>21.250505507133241</v>
      </c>
      <c r="AG12" s="64">
        <v>49.398705354995535</v>
      </c>
      <c r="AH12" s="64">
        <v>62.783888442692529</v>
      </c>
      <c r="AI12" s="64">
        <v>69.829346588149605</v>
      </c>
      <c r="AJ12" s="64">
        <v>74.054604099077153</v>
      </c>
      <c r="AK12" s="64">
        <v>76.842457259985196</v>
      </c>
      <c r="AL12" s="64">
        <v>78.811200071748189</v>
      </c>
      <c r="AM12" s="64">
        <v>80.272421448598394</v>
      </c>
      <c r="AN12" s="64">
        <v>81.398615141285106</v>
      </c>
      <c r="AP12" s="64">
        <v>87.416979331364942</v>
      </c>
      <c r="AQ12" s="64">
        <v>87.113581456135393</v>
      </c>
      <c r="AR12" s="64">
        <v>86.729512076816448</v>
      </c>
      <c r="AS12" s="64">
        <v>86.227716390620159</v>
      </c>
      <c r="AT12" s="64">
        <v>85.54439716667369</v>
      </c>
      <c r="AU12" s="64">
        <v>84.559667968994489</v>
      </c>
      <c r="AV12" s="64">
        <v>83.018942593170209</v>
      </c>
      <c r="AW12" s="64">
        <v>80.272421448598394</v>
      </c>
      <c r="AX12" s="64">
        <v>74.054604099077153</v>
      </c>
      <c r="AZ12" s="64">
        <v>82.292514277035025</v>
      </c>
      <c r="BA12" s="64">
        <v>81.398615141285106</v>
      </c>
      <c r="BB12" s="64">
        <v>80.272421448598394</v>
      </c>
      <c r="BC12" s="64">
        <v>78.811200071748189</v>
      </c>
      <c r="BD12" s="64">
        <v>76.842457259985196</v>
      </c>
      <c r="BE12" s="64">
        <v>74.054604099077153</v>
      </c>
      <c r="BF12" s="64">
        <v>69.829346588149605</v>
      </c>
      <c r="BG12" s="64">
        <v>62.783888442692529</v>
      </c>
      <c r="BH12" s="64">
        <v>49.398705354995535</v>
      </c>
      <c r="BJ12" s="64">
        <v>88.740954792824738</v>
      </c>
      <c r="BK12" s="64">
        <v>88.672922009125898</v>
      </c>
      <c r="BL12" s="64">
        <v>88.597118467348537</v>
      </c>
      <c r="BM12" s="64">
        <v>88.512132471172222</v>
      </c>
      <c r="BN12" s="64">
        <v>88.41618842913806</v>
      </c>
      <c r="BO12" s="64">
        <v>88.307021562371105</v>
      </c>
      <c r="BP12" s="64">
        <v>88.181697035548169</v>
      </c>
      <c r="BQ12" s="64">
        <v>88.036342465948039</v>
      </c>
      <c r="BR12" s="64">
        <v>87.865741237497716</v>
      </c>
      <c r="BT12" s="64">
        <v>86.227716390620159</v>
      </c>
      <c r="BU12" s="64">
        <v>86.02444632739649</v>
      </c>
      <c r="BV12" s="64">
        <v>85.798063641840372</v>
      </c>
      <c r="BW12" s="64">
        <v>85.54439716667369</v>
      </c>
      <c r="BX12" s="64">
        <v>85.258210245480953</v>
      </c>
      <c r="BY12" s="64">
        <v>84.932838274146803</v>
      </c>
      <c r="BZ12" s="64">
        <v>84.559667968994489</v>
      </c>
      <c r="CA12" s="64">
        <v>84.127371718933205</v>
      </c>
      <c r="CB12" s="64">
        <v>83.620751832386873</v>
      </c>
      <c r="CD12" s="64">
        <v>89.167674347110776</v>
      </c>
      <c r="CE12" s="64">
        <v>89.138474265432748</v>
      </c>
      <c r="CF12" s="64">
        <v>89.107151039423016</v>
      </c>
      <c r="CG12" s="64">
        <v>89.073464392556005</v>
      </c>
      <c r="CH12" s="64">
        <v>89.037136374363783</v>
      </c>
      <c r="CI12" s="64">
        <v>88.997843676162361</v>
      </c>
      <c r="CJ12" s="64">
        <v>88.955207986193514</v>
      </c>
      <c r="CK12" s="64">
        <v>88.908783774737415</v>
      </c>
      <c r="CL12" s="64">
        <v>88.858042673210974</v>
      </c>
      <c r="CN12" s="64">
        <v>87.504426716615725</v>
      </c>
      <c r="CO12" s="64">
        <v>87.416979331364942</v>
      </c>
      <c r="CP12" s="64">
        <v>87.323185532913527</v>
      </c>
      <c r="CQ12" s="64">
        <v>87.222328992114129</v>
      </c>
      <c r="CR12" s="64">
        <v>87.113581456135393</v>
      </c>
      <c r="CS12" s="64">
        <v>86.995980021304931</v>
      </c>
      <c r="CT12" s="64">
        <v>86.868398639378938</v>
      </c>
      <c r="CU12" s="64">
        <v>86.729512076816448</v>
      </c>
      <c r="CV12" s="64">
        <v>86.577749890216253</v>
      </c>
      <c r="CX12" s="64">
        <v>87.662694140876184</v>
      </c>
      <c r="CY12" s="64">
        <v>87.865741237497716</v>
      </c>
      <c r="CZ12" s="64">
        <v>88.036342465948039</v>
      </c>
      <c r="DA12" s="64">
        <v>88.181697035548169</v>
      </c>
      <c r="DB12" s="64">
        <v>88.307021562371105</v>
      </c>
      <c r="DC12" s="64">
        <v>88.41618842913806</v>
      </c>
      <c r="DD12" s="64">
        <v>88.512132471172222</v>
      </c>
      <c r="DE12" s="64">
        <v>88.597118467348537</v>
      </c>
      <c r="DF12" s="64">
        <v>88.672922009125898</v>
      </c>
      <c r="DH12" s="64">
        <v>83.018942593170209</v>
      </c>
      <c r="DI12" s="64">
        <v>83.620751832386873</v>
      </c>
      <c r="DJ12" s="64">
        <v>84.127371718933205</v>
      </c>
      <c r="DK12" s="64">
        <v>84.559667968994489</v>
      </c>
      <c r="DL12" s="64">
        <v>84.932838274146803</v>
      </c>
      <c r="DM12" s="64">
        <v>85.258210245480953</v>
      </c>
      <c r="DN12" s="64">
        <v>85.54439716667369</v>
      </c>
      <c r="DO12" s="64">
        <v>85.798063641840372</v>
      </c>
      <c r="DP12" s="64">
        <v>86.02444632739649</v>
      </c>
      <c r="DR12" s="64">
        <v>49.398705354995535</v>
      </c>
      <c r="DS12" s="64">
        <v>74.054604099077153</v>
      </c>
      <c r="DT12" s="64">
        <v>80.272421448598394</v>
      </c>
      <c r="DU12" s="64">
        <v>83.018942593170209</v>
      </c>
      <c r="DV12" s="64">
        <v>84.559667968994489</v>
      </c>
      <c r="DW12" s="64">
        <v>85.54439716667369</v>
      </c>
      <c r="DX12" s="64">
        <v>86.227716390620159</v>
      </c>
      <c r="DY12" s="64">
        <v>86.729512076816448</v>
      </c>
      <c r="DZ12" s="64">
        <v>87.113581456135393</v>
      </c>
      <c r="EB12" s="64">
        <v>21.250505507133241</v>
      </c>
      <c r="EC12" s="64">
        <v>49.398705354995535</v>
      </c>
      <c r="ED12" s="64">
        <v>62.783888442692529</v>
      </c>
      <c r="EE12" s="64">
        <v>69.829346588149605</v>
      </c>
      <c r="EF12" s="64">
        <v>74.054604099077153</v>
      </c>
      <c r="EG12" s="64">
        <v>76.842457259985196</v>
      </c>
      <c r="EH12" s="64">
        <v>78.811200071748189</v>
      </c>
      <c r="EI12" s="64">
        <v>80.272421448598394</v>
      </c>
      <c r="EJ12" s="64">
        <v>81.398615141285106</v>
      </c>
      <c r="EL12" s="64">
        <v>87.416979331364942</v>
      </c>
      <c r="EM12" s="64">
        <v>87.113581456135393</v>
      </c>
      <c r="EN12" s="64">
        <v>86.729512076816448</v>
      </c>
      <c r="EO12" s="64">
        <v>86.227716390620159</v>
      </c>
      <c r="EP12" s="64">
        <v>85.54439716667369</v>
      </c>
      <c r="EQ12" s="64">
        <v>84.559667968994489</v>
      </c>
      <c r="ER12" s="64">
        <v>83.018942593170209</v>
      </c>
      <c r="ES12" s="64">
        <v>80.272421448598394</v>
      </c>
      <c r="ET12" s="64">
        <v>74.054604099077153</v>
      </c>
      <c r="EV12" s="64">
        <v>82.292514277035025</v>
      </c>
      <c r="EW12" s="64">
        <v>81.398615141285106</v>
      </c>
      <c r="EX12" s="64">
        <v>80.272421448598394</v>
      </c>
      <c r="EY12" s="64">
        <v>78.811200071748189</v>
      </c>
      <c r="EZ12" s="64">
        <v>76.842457259985196</v>
      </c>
      <c r="FA12" s="64">
        <v>74.054604099077153</v>
      </c>
      <c r="FB12" s="64">
        <v>69.829346588149605</v>
      </c>
      <c r="FC12" s="64">
        <v>62.783888442692529</v>
      </c>
      <c r="FD12" s="64">
        <v>49.398705354995535</v>
      </c>
      <c r="FF12" s="64">
        <v>88.740954792824738</v>
      </c>
      <c r="FG12" s="64">
        <v>88.672922009125898</v>
      </c>
      <c r="FH12" s="64">
        <v>88.597118467348537</v>
      </c>
      <c r="FI12" s="64">
        <v>88.512132471172222</v>
      </c>
      <c r="FJ12" s="64">
        <v>88.41618842913806</v>
      </c>
      <c r="FK12" s="64">
        <v>88.307021562371105</v>
      </c>
      <c r="FL12" s="64">
        <v>88.181697035548169</v>
      </c>
      <c r="FM12" s="64">
        <v>88.036342465948039</v>
      </c>
      <c r="FN12" s="64">
        <v>87.865741237497716</v>
      </c>
      <c r="FP12" s="64">
        <v>86.227716390620159</v>
      </c>
      <c r="FQ12" s="64">
        <v>86.02444632739649</v>
      </c>
      <c r="FR12" s="64">
        <v>85.798063641840372</v>
      </c>
      <c r="FS12" s="64">
        <v>85.54439716667369</v>
      </c>
      <c r="FT12" s="64">
        <v>85.258210245480953</v>
      </c>
      <c r="FU12" s="64">
        <v>84.932838274146803</v>
      </c>
      <c r="FV12" s="64">
        <v>84.559667968994489</v>
      </c>
      <c r="FW12" s="64">
        <v>84.127371718933205</v>
      </c>
      <c r="FX12" s="64">
        <v>83.620751832386873</v>
      </c>
      <c r="FZ12" s="64">
        <v>89.167674347110776</v>
      </c>
      <c r="GA12" s="64">
        <v>89.138474265432748</v>
      </c>
      <c r="GB12" s="64">
        <v>89.107151039423016</v>
      </c>
      <c r="GC12" s="64">
        <v>89.073464392556005</v>
      </c>
      <c r="GD12" s="64">
        <v>89.037136374363783</v>
      </c>
      <c r="GE12" s="64">
        <v>88.997843676162361</v>
      </c>
      <c r="GF12" s="64">
        <v>88.955207986193514</v>
      </c>
      <c r="GG12" s="64">
        <v>88.908783774737415</v>
      </c>
      <c r="GH12" s="64">
        <v>88.858042673210974</v>
      </c>
      <c r="GJ12" s="64">
        <v>87.504426716615725</v>
      </c>
      <c r="GK12" s="64">
        <v>87.416979331364942</v>
      </c>
      <c r="GL12" s="64">
        <v>87.323185532913527</v>
      </c>
      <c r="GM12" s="64">
        <v>87.222328992114129</v>
      </c>
      <c r="GN12" s="64">
        <v>87.113581456135393</v>
      </c>
      <c r="GO12" s="64">
        <v>86.995980021304931</v>
      </c>
      <c r="GP12" s="64">
        <v>86.868398639378938</v>
      </c>
      <c r="GQ12" s="64">
        <v>86.729512076816448</v>
      </c>
      <c r="GR12" s="64">
        <v>86.577749890216253</v>
      </c>
      <c r="GS12" s="64">
        <v>86.41123703961992</v>
      </c>
    </row>
    <row r="13" spans="1:201" s="64" customFormat="1">
      <c r="B13" s="64">
        <v>83.018942593170209</v>
      </c>
      <c r="C13" s="64">
        <v>83.620751832386873</v>
      </c>
      <c r="D13" s="64">
        <v>84.127371718933205</v>
      </c>
      <c r="E13" s="64">
        <v>84.559667968994489</v>
      </c>
      <c r="F13" s="64">
        <v>84.932838274146803</v>
      </c>
      <c r="G13" s="64">
        <v>85.258210245480953</v>
      </c>
      <c r="H13" s="64">
        <v>85.54439716667369</v>
      </c>
      <c r="I13" s="64">
        <v>85.798063641840372</v>
      </c>
      <c r="J13" s="64">
        <v>86.02444632739649</v>
      </c>
      <c r="L13" s="64">
        <v>87.662694140876184</v>
      </c>
      <c r="M13" s="64">
        <v>87.865741237497716</v>
      </c>
      <c r="N13" s="64">
        <v>88.036342465948039</v>
      </c>
      <c r="O13" s="64">
        <v>88.181697035548169</v>
      </c>
      <c r="P13" s="64">
        <v>88.307021562371105</v>
      </c>
      <c r="Q13" s="64">
        <v>88.41618842913806</v>
      </c>
      <c r="R13" s="64">
        <v>88.512132471172222</v>
      </c>
      <c r="S13" s="64">
        <v>88.597118467348537</v>
      </c>
      <c r="T13" s="64">
        <v>88.672922009125898</v>
      </c>
      <c r="V13" s="64">
        <v>21.250505507133241</v>
      </c>
      <c r="W13" s="64">
        <v>49.398705354995535</v>
      </c>
      <c r="X13" s="64">
        <v>62.783888442692529</v>
      </c>
      <c r="Y13" s="64">
        <v>69.829346588149605</v>
      </c>
      <c r="Z13" s="64">
        <v>74.054604099077153</v>
      </c>
      <c r="AA13" s="64">
        <v>76.842457259985196</v>
      </c>
      <c r="AB13" s="64">
        <v>78.811200071748189</v>
      </c>
      <c r="AC13" s="64">
        <v>80.272421448598394</v>
      </c>
      <c r="AD13" s="64">
        <v>81.398615141285106</v>
      </c>
      <c r="AF13" s="64">
        <v>49.398705354995535</v>
      </c>
      <c r="AG13" s="64">
        <v>74.054604099077153</v>
      </c>
      <c r="AH13" s="64">
        <v>80.272421448598394</v>
      </c>
      <c r="AI13" s="64">
        <v>83.018942593170209</v>
      </c>
      <c r="AJ13" s="64">
        <v>84.559667968994489</v>
      </c>
      <c r="AK13" s="64">
        <v>85.54439716667369</v>
      </c>
      <c r="AL13" s="64">
        <v>86.227716390620159</v>
      </c>
      <c r="AM13" s="64">
        <v>86.729512076816448</v>
      </c>
      <c r="AN13" s="64">
        <v>87.113581456135393</v>
      </c>
      <c r="AP13" s="64">
        <v>82.292514277035025</v>
      </c>
      <c r="AQ13" s="64">
        <v>81.398615141285106</v>
      </c>
      <c r="AR13" s="64">
        <v>80.272421448598394</v>
      </c>
      <c r="AS13" s="64">
        <v>78.811200071748189</v>
      </c>
      <c r="AT13" s="64">
        <v>76.842457259985196</v>
      </c>
      <c r="AU13" s="64">
        <v>74.054604099077153</v>
      </c>
      <c r="AV13" s="64">
        <v>69.829346588149605</v>
      </c>
      <c r="AW13" s="64">
        <v>62.783888442692529</v>
      </c>
      <c r="AX13" s="64">
        <v>49.398705354995535</v>
      </c>
      <c r="AZ13" s="64">
        <v>87.416979331364942</v>
      </c>
      <c r="BA13" s="64">
        <v>87.113581456135393</v>
      </c>
      <c r="BB13" s="64">
        <v>86.729512076816448</v>
      </c>
      <c r="BC13" s="64">
        <v>86.227716390620159</v>
      </c>
      <c r="BD13" s="64">
        <v>85.54439716667369</v>
      </c>
      <c r="BE13" s="64">
        <v>84.559667968994489</v>
      </c>
      <c r="BF13" s="64">
        <v>83.018942593170209</v>
      </c>
      <c r="BG13" s="64">
        <v>80.272421448598394</v>
      </c>
      <c r="BH13" s="64">
        <v>74.054604099077153</v>
      </c>
      <c r="BJ13" s="64">
        <v>86.227716390620159</v>
      </c>
      <c r="BK13" s="64">
        <v>86.02444632739649</v>
      </c>
      <c r="BL13" s="64">
        <v>85.798063641840372</v>
      </c>
      <c r="BM13" s="64">
        <v>85.54439716667369</v>
      </c>
      <c r="BN13" s="64">
        <v>85.258210245480953</v>
      </c>
      <c r="BO13" s="64">
        <v>84.932838274146803</v>
      </c>
      <c r="BP13" s="64">
        <v>84.559667968994489</v>
      </c>
      <c r="BQ13" s="64">
        <v>84.127371718933205</v>
      </c>
      <c r="BR13" s="64">
        <v>83.620751832386873</v>
      </c>
      <c r="BT13" s="64">
        <v>88.740954792824738</v>
      </c>
      <c r="BU13" s="64">
        <v>88.672922009125898</v>
      </c>
      <c r="BV13" s="64">
        <v>88.597118467348537</v>
      </c>
      <c r="BW13" s="64">
        <v>88.512132471172222</v>
      </c>
      <c r="BX13" s="64">
        <v>88.41618842913806</v>
      </c>
      <c r="BY13" s="64">
        <v>88.307021562371105</v>
      </c>
      <c r="BZ13" s="64">
        <v>88.181697035548169</v>
      </c>
      <c r="CA13" s="64">
        <v>88.036342465948039</v>
      </c>
      <c r="CB13" s="64">
        <v>87.865741237497716</v>
      </c>
      <c r="CD13" s="64">
        <v>87.504426716615725</v>
      </c>
      <c r="CE13" s="64">
        <v>87.416979331364942</v>
      </c>
      <c r="CF13" s="64">
        <v>87.323185532913527</v>
      </c>
      <c r="CG13" s="64">
        <v>87.222328992114129</v>
      </c>
      <c r="CH13" s="64">
        <v>87.113581456135393</v>
      </c>
      <c r="CI13" s="64">
        <v>86.995980021304931</v>
      </c>
      <c r="CJ13" s="64">
        <v>86.868398639378938</v>
      </c>
      <c r="CK13" s="64">
        <v>86.729512076816448</v>
      </c>
      <c r="CL13" s="64">
        <v>86.577749890216253</v>
      </c>
      <c r="CN13" s="64">
        <v>89.167674347110776</v>
      </c>
      <c r="CO13" s="64">
        <v>89.138474265432748</v>
      </c>
      <c r="CP13" s="64">
        <v>89.107151039423016</v>
      </c>
      <c r="CQ13" s="64">
        <v>89.073464392556005</v>
      </c>
      <c r="CR13" s="64">
        <v>89.037136374363783</v>
      </c>
      <c r="CS13" s="64">
        <v>88.997843676162361</v>
      </c>
      <c r="CT13" s="64">
        <v>88.955207986193514</v>
      </c>
      <c r="CU13" s="64">
        <v>88.908783774737415</v>
      </c>
      <c r="CV13" s="64">
        <v>88.858042673210974</v>
      </c>
      <c r="CX13" s="64">
        <v>83.018942593170209</v>
      </c>
      <c r="CY13" s="64">
        <v>83.620751832386873</v>
      </c>
      <c r="CZ13" s="64">
        <v>84.127371718933205</v>
      </c>
      <c r="DA13" s="64">
        <v>84.559667968994489</v>
      </c>
      <c r="DB13" s="64">
        <v>84.932838274146803</v>
      </c>
      <c r="DC13" s="64">
        <v>85.258210245480953</v>
      </c>
      <c r="DD13" s="64">
        <v>85.54439716667369</v>
      </c>
      <c r="DE13" s="64">
        <v>85.798063641840372</v>
      </c>
      <c r="DF13" s="64">
        <v>86.02444632739649</v>
      </c>
      <c r="DH13" s="64">
        <v>87.662694140876184</v>
      </c>
      <c r="DI13" s="64">
        <v>87.865741237497716</v>
      </c>
      <c r="DJ13" s="64">
        <v>88.036342465948039</v>
      </c>
      <c r="DK13" s="64">
        <v>88.181697035548169</v>
      </c>
      <c r="DL13" s="64">
        <v>88.307021562371105</v>
      </c>
      <c r="DM13" s="64">
        <v>88.41618842913806</v>
      </c>
      <c r="DN13" s="64">
        <v>88.512132471172222</v>
      </c>
      <c r="DO13" s="64">
        <v>88.597118467348537</v>
      </c>
      <c r="DP13" s="64">
        <v>88.672922009125898</v>
      </c>
      <c r="DR13" s="64">
        <v>21.250505507133241</v>
      </c>
      <c r="DS13" s="64">
        <v>49.398705354995535</v>
      </c>
      <c r="DT13" s="64">
        <v>62.783888442692529</v>
      </c>
      <c r="DU13" s="64">
        <v>69.829346588149605</v>
      </c>
      <c r="DV13" s="64">
        <v>74.054604099077153</v>
      </c>
      <c r="DW13" s="64">
        <v>76.842457259985196</v>
      </c>
      <c r="DX13" s="64">
        <v>78.811200071748189</v>
      </c>
      <c r="DY13" s="64">
        <v>80.272421448598394</v>
      </c>
      <c r="DZ13" s="64">
        <v>81.398615141285106</v>
      </c>
      <c r="EB13" s="64">
        <v>49.398705354995535</v>
      </c>
      <c r="EC13" s="64">
        <v>74.054604099077153</v>
      </c>
      <c r="ED13" s="64">
        <v>80.272421448598394</v>
      </c>
      <c r="EE13" s="64">
        <v>83.018942593170209</v>
      </c>
      <c r="EF13" s="64">
        <v>84.559667968994489</v>
      </c>
      <c r="EG13" s="64">
        <v>85.54439716667369</v>
      </c>
      <c r="EH13" s="64">
        <v>86.227716390620159</v>
      </c>
      <c r="EI13" s="64">
        <v>86.729512076816448</v>
      </c>
      <c r="EJ13" s="64">
        <v>87.113581456135393</v>
      </c>
      <c r="EL13" s="64">
        <v>82.292514277035025</v>
      </c>
      <c r="EM13" s="64">
        <v>81.398615141285106</v>
      </c>
      <c r="EN13" s="64">
        <v>80.272421448598394</v>
      </c>
      <c r="EO13" s="64">
        <v>78.811200071748189</v>
      </c>
      <c r="EP13" s="64">
        <v>76.842457259985196</v>
      </c>
      <c r="EQ13" s="64">
        <v>74.054604099077153</v>
      </c>
      <c r="ER13" s="64">
        <v>69.829346588149605</v>
      </c>
      <c r="ES13" s="64">
        <v>62.783888442692529</v>
      </c>
      <c r="ET13" s="64">
        <v>49.398705354995535</v>
      </c>
      <c r="EV13" s="64">
        <v>87.416979331364942</v>
      </c>
      <c r="EW13" s="64">
        <v>87.113581456135393</v>
      </c>
      <c r="EX13" s="64">
        <v>86.729512076816448</v>
      </c>
      <c r="EY13" s="64">
        <v>86.227716390620159</v>
      </c>
      <c r="EZ13" s="64">
        <v>85.54439716667369</v>
      </c>
      <c r="FA13" s="64">
        <v>84.559667968994489</v>
      </c>
      <c r="FB13" s="64">
        <v>83.018942593170209</v>
      </c>
      <c r="FC13" s="64">
        <v>80.272421448598394</v>
      </c>
      <c r="FD13" s="64">
        <v>74.054604099077153</v>
      </c>
      <c r="FF13" s="64">
        <v>86.227716390620159</v>
      </c>
      <c r="FG13" s="64">
        <v>86.02444632739649</v>
      </c>
      <c r="FH13" s="64">
        <v>85.798063641840372</v>
      </c>
      <c r="FI13" s="64">
        <v>85.54439716667369</v>
      </c>
      <c r="FJ13" s="64">
        <v>85.258210245480953</v>
      </c>
      <c r="FK13" s="64">
        <v>84.932838274146803</v>
      </c>
      <c r="FL13" s="64">
        <v>84.559667968994489</v>
      </c>
      <c r="FM13" s="64">
        <v>84.127371718933205</v>
      </c>
      <c r="FN13" s="64">
        <v>83.620751832386873</v>
      </c>
      <c r="FP13" s="64">
        <v>88.740954792824738</v>
      </c>
      <c r="FQ13" s="64">
        <v>88.672922009125898</v>
      </c>
      <c r="FR13" s="64">
        <v>88.597118467348537</v>
      </c>
      <c r="FS13" s="64">
        <v>88.512132471172222</v>
      </c>
      <c r="FT13" s="64">
        <v>88.41618842913806</v>
      </c>
      <c r="FU13" s="64">
        <v>88.307021562371105</v>
      </c>
      <c r="FV13" s="64">
        <v>88.181697035548169</v>
      </c>
      <c r="FW13" s="64">
        <v>88.036342465948039</v>
      </c>
      <c r="FX13" s="64">
        <v>87.865741237497716</v>
      </c>
      <c r="FZ13" s="64">
        <v>87.504426716615725</v>
      </c>
      <c r="GA13" s="64">
        <v>87.416979331364942</v>
      </c>
      <c r="GB13" s="64">
        <v>87.323185532913527</v>
      </c>
      <c r="GC13" s="64">
        <v>87.222328992114129</v>
      </c>
      <c r="GD13" s="64">
        <v>87.113581456135393</v>
      </c>
      <c r="GE13" s="64">
        <v>86.995980021304931</v>
      </c>
      <c r="GF13" s="64">
        <v>86.868398639378938</v>
      </c>
      <c r="GG13" s="64">
        <v>86.729512076816448</v>
      </c>
      <c r="GH13" s="64">
        <v>86.577749890216253</v>
      </c>
      <c r="GJ13" s="64">
        <v>89.167674347110776</v>
      </c>
      <c r="GK13" s="64">
        <v>89.138474265432748</v>
      </c>
      <c r="GL13" s="64">
        <v>89.107151039423016</v>
      </c>
      <c r="GM13" s="64">
        <v>89.073464392556005</v>
      </c>
      <c r="GN13" s="64">
        <v>89.037136374363783</v>
      </c>
      <c r="GO13" s="64">
        <v>88.997843676162361</v>
      </c>
      <c r="GP13" s="64">
        <v>88.955207986193514</v>
      </c>
      <c r="GQ13" s="64">
        <v>88.908783774737415</v>
      </c>
      <c r="GR13" s="64">
        <v>88.858042673210974</v>
      </c>
      <c r="GS13" s="64">
        <v>88.802353285391604</v>
      </c>
    </row>
    <row r="14" spans="1:201">
      <c r="B14">
        <v>79.969786680267163</v>
      </c>
      <c r="C14">
        <v>80.826464557718083</v>
      </c>
      <c r="D14">
        <v>81.549301106397948</v>
      </c>
      <c r="E14">
        <v>82.167204433765363</v>
      </c>
      <c r="F14">
        <v>82.701360608259719</v>
      </c>
      <c r="G14">
        <v>83.167638322583016</v>
      </c>
      <c r="H14">
        <v>83.578151616482472</v>
      </c>
      <c r="I14">
        <v>83.942304205479005</v>
      </c>
      <c r="J14">
        <v>84.267504807178383</v>
      </c>
      <c r="L14">
        <v>90.779486321118469</v>
      </c>
      <c r="M14">
        <v>90.711712206035685</v>
      </c>
      <c r="N14">
        <v>90.65478040226769</v>
      </c>
      <c r="O14">
        <v>90.606281915517343</v>
      </c>
      <c r="P14">
        <v>90.56447217530696</v>
      </c>
      <c r="Q14">
        <v>90.52805674890017</v>
      </c>
      <c r="R14">
        <v>90.496054960395242</v>
      </c>
      <c r="S14">
        <v>90.467710260038515</v>
      </c>
      <c r="T14">
        <v>90.442429658039472</v>
      </c>
      <c r="V14">
        <v>15.068488159492208</v>
      </c>
      <c r="W14">
        <v>38.927543592792304</v>
      </c>
      <c r="X14">
        <v>53.392925187392507</v>
      </c>
      <c r="Y14">
        <v>62.049030972109826</v>
      </c>
      <c r="Z14">
        <v>67.574138078648204</v>
      </c>
      <c r="AA14">
        <v>71.342111525880469</v>
      </c>
      <c r="AB14">
        <v>74.054604099077153</v>
      </c>
      <c r="AC14">
        <v>76.092222190145307</v>
      </c>
      <c r="AD14">
        <v>77.675272565862628</v>
      </c>
      <c r="AF14">
        <v>105.94539590092285</v>
      </c>
      <c r="AG14">
        <v>95.440332031005511</v>
      </c>
      <c r="AH14">
        <v>93.270487923183552</v>
      </c>
      <c r="AI14">
        <v>92.337305859123816</v>
      </c>
      <c r="AJ14">
        <v>91.818302964451831</v>
      </c>
      <c r="AK14">
        <v>91.487867528827778</v>
      </c>
      <c r="AL14">
        <v>91.259045207175262</v>
      </c>
      <c r="AM14">
        <v>91.091216225262585</v>
      </c>
      <c r="AN14">
        <v>90.962863625636217</v>
      </c>
      <c r="AP14">
        <v>78.938817538408202</v>
      </c>
      <c r="AQ14">
        <v>77.675272565862628</v>
      </c>
      <c r="AR14">
        <v>76.092222190145307</v>
      </c>
      <c r="AS14">
        <v>74.054604099077153</v>
      </c>
      <c r="AT14">
        <v>71.342111525880469</v>
      </c>
      <c r="AU14">
        <v>67.574138078648204</v>
      </c>
      <c r="AV14">
        <v>62.049030972109826</v>
      </c>
      <c r="AW14">
        <v>53.392925187392507</v>
      </c>
      <c r="AX14">
        <v>38.927543592792304</v>
      </c>
      <c r="AZ14">
        <v>90.861525734567252</v>
      </c>
      <c r="BA14">
        <v>90.962863625636217</v>
      </c>
      <c r="BB14">
        <v>91.091216225262585</v>
      </c>
      <c r="BC14">
        <v>91.259045207175262</v>
      </c>
      <c r="BD14">
        <v>91.487867528827778</v>
      </c>
      <c r="BE14">
        <v>91.818302964451831</v>
      </c>
      <c r="BF14">
        <v>92.337305859123816</v>
      </c>
      <c r="BG14">
        <v>93.270487923183552</v>
      </c>
      <c r="BH14">
        <v>95.440332031005511</v>
      </c>
      <c r="BJ14">
        <v>84.559667968994489</v>
      </c>
      <c r="BK14">
        <v>84.267504807178383</v>
      </c>
      <c r="BL14">
        <v>83.942304205479005</v>
      </c>
      <c r="BM14">
        <v>83.578151616482472</v>
      </c>
      <c r="BN14">
        <v>83.167638322583016</v>
      </c>
      <c r="BO14">
        <v>82.701360608259719</v>
      </c>
      <c r="BP14">
        <v>82.167204433765363</v>
      </c>
      <c r="BQ14">
        <v>81.549301106397948</v>
      </c>
      <c r="BR14">
        <v>80.826464557718083</v>
      </c>
      <c r="BT14">
        <v>90.419741791335326</v>
      </c>
      <c r="BU14">
        <v>90.442429658039472</v>
      </c>
      <c r="BV14">
        <v>90.467710260038515</v>
      </c>
      <c r="BW14">
        <v>90.496054960395242</v>
      </c>
      <c r="BX14">
        <v>90.52805674890017</v>
      </c>
      <c r="BY14">
        <v>90.56447217530696</v>
      </c>
      <c r="BZ14">
        <v>90.606281915517343</v>
      </c>
      <c r="CA14">
        <v>90.65478040226769</v>
      </c>
      <c r="CB14">
        <v>90.711712206035685</v>
      </c>
      <c r="CD14">
        <v>86.39775556669359</v>
      </c>
      <c r="CE14">
        <v>86.271711495818764</v>
      </c>
      <c r="CF14">
        <v>86.136540779117155</v>
      </c>
      <c r="CG14">
        <v>85.991216594772396</v>
      </c>
      <c r="CH14">
        <v>85.834552368700145</v>
      </c>
      <c r="CI14">
        <v>85.665169512090998</v>
      </c>
      <c r="CJ14">
        <v>85.481457028533526</v>
      </c>
      <c r="CK14">
        <v>85.281520501323513</v>
      </c>
      <c r="CL14">
        <v>85.0631170629905</v>
      </c>
      <c r="CN14">
        <v>90.277459233122514</v>
      </c>
      <c r="CO14">
        <v>90.287194484507168</v>
      </c>
      <c r="CP14">
        <v>90.297637735723498</v>
      </c>
      <c r="CQ14">
        <v>90.308869134751902</v>
      </c>
      <c r="CR14">
        <v>90.320981401193578</v>
      </c>
      <c r="CS14">
        <v>90.334082391748538</v>
      </c>
      <c r="CT14">
        <v>90.348298320658742</v>
      </c>
      <c r="CU14">
        <v>90.363777838864564</v>
      </c>
      <c r="CV14">
        <v>90.380697251426767</v>
      </c>
      <c r="CX14">
        <v>79.969786680267163</v>
      </c>
      <c r="CY14">
        <v>80.826464557718083</v>
      </c>
      <c r="CZ14">
        <v>81.549301106397948</v>
      </c>
      <c r="DA14">
        <v>82.167204433765363</v>
      </c>
      <c r="DB14">
        <v>82.701360608259719</v>
      </c>
      <c r="DC14">
        <v>83.167638322583016</v>
      </c>
      <c r="DD14">
        <v>83.578151616482472</v>
      </c>
      <c r="DE14">
        <v>83.942304205479005</v>
      </c>
      <c r="DF14">
        <v>84.267504807178383</v>
      </c>
      <c r="DH14">
        <v>90.779486321118469</v>
      </c>
      <c r="DI14">
        <v>90.711712206035685</v>
      </c>
      <c r="DJ14">
        <v>90.65478040226769</v>
      </c>
      <c r="DK14">
        <v>90.606281915517343</v>
      </c>
      <c r="DL14">
        <v>90.56447217530696</v>
      </c>
      <c r="DM14">
        <v>90.52805674890017</v>
      </c>
      <c r="DN14">
        <v>90.496054960395242</v>
      </c>
      <c r="DO14">
        <v>90.467710260038515</v>
      </c>
      <c r="DP14">
        <v>90.442429658039472</v>
      </c>
      <c r="DR14">
        <v>15.068488159492208</v>
      </c>
      <c r="DS14">
        <v>38.927543592792304</v>
      </c>
      <c r="DT14">
        <v>53.392925187392507</v>
      </c>
      <c r="DU14">
        <v>62.049030972109826</v>
      </c>
      <c r="DV14">
        <v>67.574138078648204</v>
      </c>
      <c r="DW14">
        <v>71.342111525880469</v>
      </c>
      <c r="DX14">
        <v>74.054604099077153</v>
      </c>
      <c r="DY14">
        <v>76.092222190145307</v>
      </c>
      <c r="DZ14">
        <v>77.675272565862628</v>
      </c>
      <c r="EB14">
        <v>105.94539590092285</v>
      </c>
      <c r="EC14">
        <v>95.440332031005511</v>
      </c>
      <c r="ED14">
        <v>93.270487923183552</v>
      </c>
      <c r="EE14">
        <v>92.337305859123816</v>
      </c>
      <c r="EF14">
        <v>91.818302964451831</v>
      </c>
      <c r="EG14">
        <v>91.487867528827778</v>
      </c>
      <c r="EH14">
        <v>91.259045207175262</v>
      </c>
      <c r="EI14">
        <v>91.091216225262585</v>
      </c>
      <c r="EJ14">
        <v>90.962863625636217</v>
      </c>
      <c r="EL14">
        <v>78.938817538408202</v>
      </c>
      <c r="EM14">
        <v>77.675272565862628</v>
      </c>
      <c r="EN14">
        <v>76.092222190145307</v>
      </c>
      <c r="EO14">
        <v>74.054604099077153</v>
      </c>
      <c r="EP14">
        <v>71.342111525880469</v>
      </c>
      <c r="EQ14">
        <v>67.574138078648204</v>
      </c>
      <c r="ER14">
        <v>62.049030972109826</v>
      </c>
      <c r="ES14">
        <v>53.392925187392507</v>
      </c>
      <c r="ET14">
        <v>38.927543592792304</v>
      </c>
      <c r="EV14">
        <v>90.861525734567252</v>
      </c>
      <c r="EW14">
        <v>90.962863625636217</v>
      </c>
      <c r="EX14">
        <v>91.091216225262585</v>
      </c>
      <c r="EY14">
        <v>91.259045207175262</v>
      </c>
      <c r="EZ14">
        <v>91.487867528827778</v>
      </c>
      <c r="FA14">
        <v>91.818302964451831</v>
      </c>
      <c r="FB14">
        <v>92.337305859123816</v>
      </c>
      <c r="FC14">
        <v>93.270487923183552</v>
      </c>
      <c r="FD14">
        <v>95.440332031005511</v>
      </c>
      <c r="FF14">
        <v>84.559667968994489</v>
      </c>
      <c r="FG14">
        <v>84.267504807178383</v>
      </c>
      <c r="FH14">
        <v>83.942304205479005</v>
      </c>
      <c r="FI14">
        <v>83.578151616482472</v>
      </c>
      <c r="FJ14">
        <v>83.167638322583016</v>
      </c>
      <c r="FK14">
        <v>82.701360608259719</v>
      </c>
      <c r="FL14">
        <v>82.167204433765363</v>
      </c>
      <c r="FM14">
        <v>81.549301106397948</v>
      </c>
      <c r="FN14">
        <v>80.826464557718083</v>
      </c>
      <c r="FP14">
        <v>90.419741791335326</v>
      </c>
      <c r="FQ14">
        <v>90.442429658039472</v>
      </c>
      <c r="FR14">
        <v>90.467710260038515</v>
      </c>
      <c r="FS14">
        <v>90.496054960395242</v>
      </c>
      <c r="FT14">
        <v>90.52805674890017</v>
      </c>
      <c r="FU14">
        <v>90.56447217530696</v>
      </c>
      <c r="FV14">
        <v>90.606281915517343</v>
      </c>
      <c r="FW14">
        <v>90.65478040226769</v>
      </c>
      <c r="FX14">
        <v>90.711712206035685</v>
      </c>
      <c r="FZ14">
        <v>86.39775556669359</v>
      </c>
      <c r="GA14">
        <v>86.271711495818764</v>
      </c>
      <c r="GB14">
        <v>86.136540779117155</v>
      </c>
      <c r="GC14">
        <v>85.991216594772396</v>
      </c>
      <c r="GD14">
        <v>85.834552368700145</v>
      </c>
      <c r="GE14">
        <v>85.665169512090998</v>
      </c>
      <c r="GF14">
        <v>85.481457028533526</v>
      </c>
      <c r="GG14">
        <v>85.281520501323513</v>
      </c>
      <c r="GH14">
        <v>85.0631170629905</v>
      </c>
      <c r="GJ14">
        <v>90.277459233122514</v>
      </c>
      <c r="GK14">
        <v>90.287194484507168</v>
      </c>
      <c r="GL14">
        <v>90.297637735723498</v>
      </c>
      <c r="GM14">
        <v>90.308869134751902</v>
      </c>
      <c r="GN14">
        <v>90.320981401193578</v>
      </c>
      <c r="GO14">
        <v>90.334082391748538</v>
      </c>
      <c r="GP14">
        <v>90.348298320658742</v>
      </c>
      <c r="GQ14">
        <v>90.363777838864564</v>
      </c>
      <c r="GR14">
        <v>90.380697251426767</v>
      </c>
      <c r="GS14">
        <v>90.399267261846731</v>
      </c>
    </row>
    <row r="15" spans="1:201">
      <c r="B15">
        <v>76.976920329395014</v>
      </c>
      <c r="C15">
        <v>78.075476062388091</v>
      </c>
      <c r="D15">
        <v>79.005222650707879</v>
      </c>
      <c r="E15">
        <v>79.801899154376599</v>
      </c>
      <c r="F15">
        <v>80.491914399539084</v>
      </c>
      <c r="G15">
        <v>81.095179009677949</v>
      </c>
      <c r="H15">
        <v>81.626973325217605</v>
      </c>
      <c r="I15">
        <v>82.099210576160203</v>
      </c>
      <c r="J15">
        <v>82.52131049185175</v>
      </c>
      <c r="L15">
        <v>93.891676294080753</v>
      </c>
      <c r="M15">
        <v>93.554178235532092</v>
      </c>
      <c r="N15">
        <v>93.270487923183552</v>
      </c>
      <c r="O15">
        <v>93.028698578340581</v>
      </c>
      <c r="P15">
        <v>92.820172472448476</v>
      </c>
      <c r="Q15">
        <v>92.638491825411208</v>
      </c>
      <c r="R15">
        <v>92.478789108578326</v>
      </c>
      <c r="S15">
        <v>92.337305859123816</v>
      </c>
      <c r="T15">
        <v>92.211093977171075</v>
      </c>
      <c r="V15">
        <v>11.633633998940436</v>
      </c>
      <c r="W15">
        <v>31.701429669505718</v>
      </c>
      <c r="X15">
        <v>45.830315486258016</v>
      </c>
      <c r="Y15">
        <v>55.244087446458629</v>
      </c>
      <c r="Z15">
        <v>61.645038214675942</v>
      </c>
      <c r="AA15">
        <v>66.17573941710458</v>
      </c>
      <c r="AB15">
        <v>69.512985806669306</v>
      </c>
      <c r="AC15">
        <v>72.057552910841338</v>
      </c>
      <c r="AD15">
        <v>74.054604099077153</v>
      </c>
      <c r="AF15">
        <v>145.00797980144134</v>
      </c>
      <c r="AG15">
        <v>115.46334506187161</v>
      </c>
      <c r="AH15">
        <v>105.94539590092285</v>
      </c>
      <c r="AI15">
        <v>101.53462065364472</v>
      </c>
      <c r="AJ15">
        <v>99.019322431381681</v>
      </c>
      <c r="AK15">
        <v>97.3995946598871</v>
      </c>
      <c r="AL15">
        <v>96.271077449501135</v>
      </c>
      <c r="AM15">
        <v>95.440332031005511</v>
      </c>
      <c r="AN15">
        <v>94.803485759069076</v>
      </c>
      <c r="AP15">
        <v>75.660071498657757</v>
      </c>
      <c r="AQ15">
        <v>74.054604099077153</v>
      </c>
      <c r="AR15">
        <v>72.057552910841338</v>
      </c>
      <c r="AS15">
        <v>69.512985806669306</v>
      </c>
      <c r="AT15">
        <v>66.17573941710458</v>
      </c>
      <c r="AU15">
        <v>61.645038214675942</v>
      </c>
      <c r="AV15">
        <v>55.244087446458629</v>
      </c>
      <c r="AW15">
        <v>45.830315486258016</v>
      </c>
      <c r="AX15">
        <v>31.701429669505718</v>
      </c>
      <c r="AZ15">
        <v>94.299862820192061</v>
      </c>
      <c r="BA15">
        <v>94.803485759069076</v>
      </c>
      <c r="BB15">
        <v>95.440332031005511</v>
      </c>
      <c r="BC15">
        <v>96.271077449501135</v>
      </c>
      <c r="BD15">
        <v>97.3995946598871</v>
      </c>
      <c r="BE15">
        <v>99.019322431381681</v>
      </c>
      <c r="BF15">
        <v>101.53462065364472</v>
      </c>
      <c r="BG15">
        <v>105.94539590092285</v>
      </c>
      <c r="BH15">
        <v>115.46334506187161</v>
      </c>
      <c r="BJ15">
        <v>82.900815831274443</v>
      </c>
      <c r="BK15">
        <v>82.52131049185175</v>
      </c>
      <c r="BL15">
        <v>82.099210576160203</v>
      </c>
      <c r="BM15">
        <v>81.626973325217605</v>
      </c>
      <c r="BN15">
        <v>81.095179009677949</v>
      </c>
      <c r="BO15">
        <v>80.491914399539084</v>
      </c>
      <c r="BP15">
        <v>79.801899154376599</v>
      </c>
      <c r="BQ15">
        <v>79.005222650707879</v>
      </c>
      <c r="BR15">
        <v>78.075476062388091</v>
      </c>
      <c r="BT15">
        <v>92.097808586192144</v>
      </c>
      <c r="BU15">
        <v>92.211093977171075</v>
      </c>
      <c r="BV15">
        <v>92.337305859123816</v>
      </c>
      <c r="BW15">
        <v>92.478789108578326</v>
      </c>
      <c r="BX15">
        <v>92.638491825411208</v>
      </c>
      <c r="BY15">
        <v>92.820172472448476</v>
      </c>
      <c r="BZ15">
        <v>93.028698578340581</v>
      </c>
      <c r="CA15">
        <v>93.270487923183552</v>
      </c>
      <c r="CB15">
        <v>93.554178235532092</v>
      </c>
      <c r="CD15">
        <v>85.2937688907747</v>
      </c>
      <c r="CE15">
        <v>85.129418985999436</v>
      </c>
      <c r="CF15">
        <v>84.953205709224832</v>
      </c>
      <c r="CG15">
        <v>84.763800178999929</v>
      </c>
      <c r="CH15">
        <v>84.559667968994489</v>
      </c>
      <c r="CI15">
        <v>84.339027906254657</v>
      </c>
      <c r="CJ15">
        <v>84.099800582725166</v>
      </c>
      <c r="CK15">
        <v>83.839543466409395</v>
      </c>
      <c r="CL15">
        <v>83.55536837794223</v>
      </c>
      <c r="CN15">
        <v>91.38703599178065</v>
      </c>
      <c r="CO15">
        <v>91.435683897341747</v>
      </c>
      <c r="CP15">
        <v>91.487867528827778</v>
      </c>
      <c r="CQ15">
        <v>91.543986789797515</v>
      </c>
      <c r="CR15">
        <v>91.604504237562352</v>
      </c>
      <c r="CS15">
        <v>91.669957849874166</v>
      </c>
      <c r="CT15">
        <v>91.740977044928329</v>
      </c>
      <c r="CU15">
        <v>91.818302964451831</v>
      </c>
      <c r="CV15">
        <v>91.902814404315023</v>
      </c>
      <c r="CX15">
        <v>76.976920329395014</v>
      </c>
      <c r="CY15">
        <v>78.075476062388091</v>
      </c>
      <c r="CZ15">
        <v>79.005222650707879</v>
      </c>
      <c r="DA15">
        <v>79.801899154376599</v>
      </c>
      <c r="DB15">
        <v>80.491914399539084</v>
      </c>
      <c r="DC15">
        <v>81.095179009677949</v>
      </c>
      <c r="DD15">
        <v>81.626973325217605</v>
      </c>
      <c r="DE15">
        <v>82.099210576160203</v>
      </c>
      <c r="DF15">
        <v>82.52131049185175</v>
      </c>
      <c r="DH15">
        <v>93.891676294080753</v>
      </c>
      <c r="DI15">
        <v>93.554178235532092</v>
      </c>
      <c r="DJ15">
        <v>93.270487923183552</v>
      </c>
      <c r="DK15">
        <v>93.028698578340581</v>
      </c>
      <c r="DL15">
        <v>92.820172472448476</v>
      </c>
      <c r="DM15">
        <v>92.638491825411208</v>
      </c>
      <c r="DN15">
        <v>92.478789108578326</v>
      </c>
      <c r="DO15">
        <v>92.337305859123816</v>
      </c>
      <c r="DP15">
        <v>92.211093977171075</v>
      </c>
      <c r="DR15">
        <v>11.633633998940436</v>
      </c>
      <c r="DS15">
        <v>31.701429669505718</v>
      </c>
      <c r="DT15">
        <v>45.830315486258016</v>
      </c>
      <c r="DU15">
        <v>55.244087446458629</v>
      </c>
      <c r="DV15">
        <v>61.645038214675942</v>
      </c>
      <c r="DW15">
        <v>66.17573941710458</v>
      </c>
      <c r="DX15">
        <v>69.512985806669306</v>
      </c>
      <c r="DY15">
        <v>72.057552910841338</v>
      </c>
      <c r="DZ15">
        <v>74.054604099077153</v>
      </c>
      <c r="EB15">
        <v>145.00797980144134</v>
      </c>
      <c r="EC15">
        <v>115.46334506187161</v>
      </c>
      <c r="ED15">
        <v>105.94539590092285</v>
      </c>
      <c r="EE15">
        <v>101.53462065364472</v>
      </c>
      <c r="EF15">
        <v>99.019322431381681</v>
      </c>
      <c r="EG15">
        <v>97.3995946598871</v>
      </c>
      <c r="EH15">
        <v>96.271077449501135</v>
      </c>
      <c r="EI15">
        <v>95.440332031005511</v>
      </c>
      <c r="EJ15">
        <v>94.803485759069076</v>
      </c>
      <c r="EL15">
        <v>75.660071498657757</v>
      </c>
      <c r="EM15">
        <v>74.054604099077153</v>
      </c>
      <c r="EN15">
        <v>72.057552910841338</v>
      </c>
      <c r="EO15">
        <v>69.512985806669306</v>
      </c>
      <c r="EP15">
        <v>66.17573941710458</v>
      </c>
      <c r="EQ15">
        <v>61.645038214675942</v>
      </c>
      <c r="ER15">
        <v>55.244087446458629</v>
      </c>
      <c r="ES15">
        <v>45.830315486258016</v>
      </c>
      <c r="ET15">
        <v>31.701429669505718</v>
      </c>
      <c r="EV15">
        <v>94.299862820192061</v>
      </c>
      <c r="EW15">
        <v>94.803485759069076</v>
      </c>
      <c r="EX15">
        <v>95.440332031005511</v>
      </c>
      <c r="EY15">
        <v>96.271077449501135</v>
      </c>
      <c r="EZ15">
        <v>97.3995946598871</v>
      </c>
      <c r="FA15">
        <v>99.019322431381681</v>
      </c>
      <c r="FB15">
        <v>101.53462065364472</v>
      </c>
      <c r="FC15">
        <v>105.94539590092285</v>
      </c>
      <c r="FD15">
        <v>115.46334506187161</v>
      </c>
      <c r="FF15">
        <v>82.900815831274443</v>
      </c>
      <c r="FG15">
        <v>82.52131049185175</v>
      </c>
      <c r="FH15">
        <v>82.099210576160203</v>
      </c>
      <c r="FI15">
        <v>81.626973325217605</v>
      </c>
      <c r="FJ15">
        <v>81.095179009677949</v>
      </c>
      <c r="FK15">
        <v>80.491914399539084</v>
      </c>
      <c r="FL15">
        <v>79.801899154376599</v>
      </c>
      <c r="FM15">
        <v>79.005222650707879</v>
      </c>
      <c r="FN15">
        <v>78.075476062388091</v>
      </c>
      <c r="FP15">
        <v>92.097808586192144</v>
      </c>
      <c r="FQ15">
        <v>92.211093977171075</v>
      </c>
      <c r="FR15">
        <v>92.337305859123816</v>
      </c>
      <c r="FS15">
        <v>92.478789108578326</v>
      </c>
      <c r="FT15">
        <v>92.638491825411208</v>
      </c>
      <c r="FU15">
        <v>92.820172472448476</v>
      </c>
      <c r="FV15">
        <v>93.028698578340581</v>
      </c>
      <c r="FW15">
        <v>93.270487923183552</v>
      </c>
      <c r="FX15">
        <v>93.554178235532092</v>
      </c>
      <c r="FZ15">
        <v>85.2937688907747</v>
      </c>
      <c r="GA15">
        <v>85.129418985999436</v>
      </c>
      <c r="GB15">
        <v>84.953205709224832</v>
      </c>
      <c r="GC15">
        <v>84.763800178999929</v>
      </c>
      <c r="GD15">
        <v>84.559667968994489</v>
      </c>
      <c r="GE15">
        <v>84.339027906254657</v>
      </c>
      <c r="GF15">
        <v>84.099800582725166</v>
      </c>
      <c r="GG15">
        <v>83.839543466409395</v>
      </c>
      <c r="GH15">
        <v>83.55536837794223</v>
      </c>
      <c r="GJ15">
        <v>91.38703599178065</v>
      </c>
      <c r="GK15">
        <v>91.435683897341747</v>
      </c>
      <c r="GL15">
        <v>91.487867528827778</v>
      </c>
      <c r="GM15">
        <v>91.543986789797515</v>
      </c>
      <c r="GN15">
        <v>91.604504237562352</v>
      </c>
      <c r="GO15">
        <v>91.669957849874166</v>
      </c>
      <c r="GP15">
        <v>91.740977044928329</v>
      </c>
      <c r="GQ15">
        <v>91.818302964451831</v>
      </c>
      <c r="GR15">
        <v>91.902814404315023</v>
      </c>
      <c r="GS15">
        <v>91.995561315707747</v>
      </c>
    </row>
    <row r="16" spans="1:201">
      <c r="B16">
        <v>74.054604099077153</v>
      </c>
      <c r="C16">
        <v>75.379126011368342</v>
      </c>
      <c r="D16">
        <v>76.504266719204196</v>
      </c>
      <c r="E16">
        <v>77.471192290848492</v>
      </c>
      <c r="F16">
        <v>78.310630824560818</v>
      </c>
      <c r="G16">
        <v>79.045937356601669</v>
      </c>
      <c r="H16">
        <v>79.69515353123397</v>
      </c>
      <c r="I16">
        <v>80.272421448598394</v>
      </c>
      <c r="J16">
        <v>80.788973459183325</v>
      </c>
      <c r="L16">
        <v>96.981057406829791</v>
      </c>
      <c r="M16">
        <v>96.379248167613127</v>
      </c>
      <c r="N16">
        <v>95.872628281066795</v>
      </c>
      <c r="O16">
        <v>95.440332031005511</v>
      </c>
      <c r="P16">
        <v>95.067161725853197</v>
      </c>
      <c r="Q16">
        <v>94.741789754519047</v>
      </c>
      <c r="R16">
        <v>94.45560283332631</v>
      </c>
      <c r="S16">
        <v>94.201936358159628</v>
      </c>
      <c r="T16">
        <v>93.97555367260351</v>
      </c>
      <c r="V16">
        <v>9.4623222080256166</v>
      </c>
      <c r="W16">
        <v>26.56505117707799</v>
      </c>
      <c r="X16">
        <v>39.805571092265197</v>
      </c>
      <c r="Y16">
        <v>49.398705354995535</v>
      </c>
      <c r="Z16">
        <v>56.309932474020215</v>
      </c>
      <c r="AA16">
        <v>61.389540334034791</v>
      </c>
      <c r="AB16">
        <v>65.224859431168085</v>
      </c>
      <c r="AC16">
        <v>68.198590513648185</v>
      </c>
      <c r="AD16">
        <v>70.559965171823805</v>
      </c>
      <c r="AF16">
        <v>158.74949449286677</v>
      </c>
      <c r="AG16">
        <v>130.60129464500446</v>
      </c>
      <c r="AH16">
        <v>117.21611155730747</v>
      </c>
      <c r="AI16">
        <v>110.1706534118504</v>
      </c>
      <c r="AJ16">
        <v>105.94539590092285</v>
      </c>
      <c r="AK16">
        <v>103.1575427400148</v>
      </c>
      <c r="AL16">
        <v>101.18879992825181</v>
      </c>
      <c r="AM16">
        <v>99.727578551401606</v>
      </c>
      <c r="AN16">
        <v>98.601384858714894</v>
      </c>
      <c r="AP16">
        <v>72.474431626277124</v>
      </c>
      <c r="AQ16">
        <v>70.559965171823805</v>
      </c>
      <c r="AR16">
        <v>68.198590513648185</v>
      </c>
      <c r="AS16">
        <v>65.224859431168085</v>
      </c>
      <c r="AT16">
        <v>61.389540334034791</v>
      </c>
      <c r="AU16">
        <v>56.309932474020215</v>
      </c>
      <c r="AV16">
        <v>49.398705354995535</v>
      </c>
      <c r="AW16">
        <v>39.805571092265197</v>
      </c>
      <c r="AX16">
        <v>26.56505117707799</v>
      </c>
      <c r="AZ16">
        <v>97.707485722964975</v>
      </c>
      <c r="BA16">
        <v>98.601384858714894</v>
      </c>
      <c r="BB16">
        <v>99.727578551401606</v>
      </c>
      <c r="BC16">
        <v>101.18879992825181</v>
      </c>
      <c r="BD16">
        <v>103.1575427400148</v>
      </c>
      <c r="BE16">
        <v>105.94539590092285</v>
      </c>
      <c r="BF16">
        <v>110.1706534118504</v>
      </c>
      <c r="BG16">
        <v>117.21611155730747</v>
      </c>
      <c r="BH16">
        <v>130.60129464500446</v>
      </c>
      <c r="BJ16">
        <v>81.253837737444798</v>
      </c>
      <c r="BK16">
        <v>80.788973459183325</v>
      </c>
      <c r="BL16">
        <v>80.272421448598394</v>
      </c>
      <c r="BM16">
        <v>79.69515353123397</v>
      </c>
      <c r="BN16">
        <v>79.045937356601669</v>
      </c>
      <c r="BO16">
        <v>78.310630824560818</v>
      </c>
      <c r="BP16">
        <v>77.471192290848492</v>
      </c>
      <c r="BQ16">
        <v>76.504266719204196</v>
      </c>
      <c r="BR16">
        <v>75.379126011368342</v>
      </c>
      <c r="BT16">
        <v>93.772283609379841</v>
      </c>
      <c r="BU16">
        <v>93.97555367260351</v>
      </c>
      <c r="BV16">
        <v>94.201936358159628</v>
      </c>
      <c r="BW16">
        <v>94.45560283332631</v>
      </c>
      <c r="BX16">
        <v>94.741789754519047</v>
      </c>
      <c r="BY16">
        <v>95.067161725853197</v>
      </c>
      <c r="BZ16">
        <v>95.440332031005511</v>
      </c>
      <c r="CA16">
        <v>95.872628281066795</v>
      </c>
      <c r="CB16">
        <v>96.379248167613127</v>
      </c>
      <c r="CD16">
        <v>84.193273094468424</v>
      </c>
      <c r="CE16">
        <v>83.990994042505477</v>
      </c>
      <c r="CF16">
        <v>83.774170935574233</v>
      </c>
      <c r="CG16">
        <v>83.541183621281348</v>
      </c>
      <c r="CH16">
        <v>83.290163192243071</v>
      </c>
      <c r="CI16">
        <v>83.018942593170209</v>
      </c>
      <c r="CJ16">
        <v>82.724995042110748</v>
      </c>
      <c r="CK16">
        <v>82.405356631408566</v>
      </c>
      <c r="CL16">
        <v>82.056528189409605</v>
      </c>
      <c r="CN16">
        <v>92.495573283384275</v>
      </c>
      <c r="CO16">
        <v>92.583020668635058</v>
      </c>
      <c r="CP16">
        <v>92.676814467086473</v>
      </c>
      <c r="CQ16">
        <v>92.777671007885871</v>
      </c>
      <c r="CR16">
        <v>92.886418543864607</v>
      </c>
      <c r="CS16">
        <v>93.004019978695069</v>
      </c>
      <c r="CT16">
        <v>93.131601360621062</v>
      </c>
      <c r="CU16">
        <v>93.270487923183552</v>
      </c>
      <c r="CV16">
        <v>93.422250109783747</v>
      </c>
      <c r="CX16">
        <v>74.054604099077153</v>
      </c>
      <c r="CY16">
        <v>75.379126011368342</v>
      </c>
      <c r="CZ16">
        <v>76.504266719204196</v>
      </c>
      <c r="DA16">
        <v>77.471192290848492</v>
      </c>
      <c r="DB16">
        <v>78.310630824560818</v>
      </c>
      <c r="DC16">
        <v>79.045937356601669</v>
      </c>
      <c r="DD16">
        <v>79.69515353123397</v>
      </c>
      <c r="DE16">
        <v>80.272421448598394</v>
      </c>
      <c r="DF16">
        <v>80.788973459183325</v>
      </c>
      <c r="DH16">
        <v>96.981057406829791</v>
      </c>
      <c r="DI16">
        <v>96.379248167613127</v>
      </c>
      <c r="DJ16">
        <v>95.872628281066795</v>
      </c>
      <c r="DK16">
        <v>95.440332031005511</v>
      </c>
      <c r="DL16">
        <v>95.067161725853197</v>
      </c>
      <c r="DM16">
        <v>94.741789754519047</v>
      </c>
      <c r="DN16">
        <v>94.45560283332631</v>
      </c>
      <c r="DO16">
        <v>94.201936358159628</v>
      </c>
      <c r="DP16">
        <v>93.97555367260351</v>
      </c>
      <c r="DR16">
        <v>9.4623222080256166</v>
      </c>
      <c r="DS16">
        <v>26.56505117707799</v>
      </c>
      <c r="DT16">
        <v>39.805571092265197</v>
      </c>
      <c r="DU16">
        <v>49.398705354995535</v>
      </c>
      <c r="DV16">
        <v>56.309932474020215</v>
      </c>
      <c r="DW16">
        <v>61.389540334034791</v>
      </c>
      <c r="DX16">
        <v>65.224859431168085</v>
      </c>
      <c r="DY16">
        <v>68.198590513648185</v>
      </c>
      <c r="DZ16">
        <v>70.559965171823805</v>
      </c>
      <c r="EB16">
        <v>158.74949449286677</v>
      </c>
      <c r="EC16">
        <v>130.60129464500446</v>
      </c>
      <c r="ED16">
        <v>117.21611155730747</v>
      </c>
      <c r="EE16">
        <v>110.1706534118504</v>
      </c>
      <c r="EF16">
        <v>105.94539590092285</v>
      </c>
      <c r="EG16">
        <v>103.1575427400148</v>
      </c>
      <c r="EH16">
        <v>101.18879992825181</v>
      </c>
      <c r="EI16">
        <v>99.727578551401606</v>
      </c>
      <c r="EJ16">
        <v>98.601384858714894</v>
      </c>
      <c r="EL16">
        <v>72.474431626277124</v>
      </c>
      <c r="EM16">
        <v>70.559965171823805</v>
      </c>
      <c r="EN16">
        <v>68.198590513648185</v>
      </c>
      <c r="EO16">
        <v>65.224859431168085</v>
      </c>
      <c r="EP16">
        <v>61.389540334034791</v>
      </c>
      <c r="EQ16">
        <v>56.309932474020215</v>
      </c>
      <c r="ER16">
        <v>49.398705354995535</v>
      </c>
      <c r="ES16">
        <v>39.805571092265197</v>
      </c>
      <c r="ET16">
        <v>26.56505117707799</v>
      </c>
      <c r="EV16">
        <v>97.707485722964975</v>
      </c>
      <c r="EW16">
        <v>98.601384858714894</v>
      </c>
      <c r="EX16">
        <v>99.727578551401606</v>
      </c>
      <c r="EY16">
        <v>101.18879992825181</v>
      </c>
      <c r="EZ16">
        <v>103.1575427400148</v>
      </c>
      <c r="FA16">
        <v>105.94539590092285</v>
      </c>
      <c r="FB16">
        <v>110.1706534118504</v>
      </c>
      <c r="FC16">
        <v>117.21611155730747</v>
      </c>
      <c r="FD16">
        <v>130.60129464500446</v>
      </c>
      <c r="FF16">
        <v>81.253837737444798</v>
      </c>
      <c r="FG16">
        <v>80.788973459183325</v>
      </c>
      <c r="FH16">
        <v>80.272421448598394</v>
      </c>
      <c r="FI16">
        <v>79.69515353123397</v>
      </c>
      <c r="FJ16">
        <v>79.045937356601669</v>
      </c>
      <c r="FK16">
        <v>78.310630824560818</v>
      </c>
      <c r="FL16">
        <v>77.471192290848492</v>
      </c>
      <c r="FM16">
        <v>76.504266719204196</v>
      </c>
      <c r="FN16">
        <v>75.379126011368342</v>
      </c>
      <c r="FP16">
        <v>93.772283609379841</v>
      </c>
      <c r="FQ16">
        <v>93.97555367260351</v>
      </c>
      <c r="FR16">
        <v>94.201936358159628</v>
      </c>
      <c r="FS16">
        <v>94.45560283332631</v>
      </c>
      <c r="FT16">
        <v>94.741789754519047</v>
      </c>
      <c r="FU16">
        <v>95.067161725853197</v>
      </c>
      <c r="FV16">
        <v>95.440332031005511</v>
      </c>
      <c r="FW16">
        <v>95.872628281066795</v>
      </c>
      <c r="FX16">
        <v>96.379248167613127</v>
      </c>
      <c r="FZ16">
        <v>84.193273094468424</v>
      </c>
      <c r="GA16">
        <v>83.990994042505477</v>
      </c>
      <c r="GB16">
        <v>83.774170935574233</v>
      </c>
      <c r="GC16">
        <v>83.541183621281348</v>
      </c>
      <c r="GD16">
        <v>83.290163192243071</v>
      </c>
      <c r="GE16">
        <v>83.018942593170209</v>
      </c>
      <c r="GF16">
        <v>82.724995042110748</v>
      </c>
      <c r="GG16">
        <v>82.405356631408566</v>
      </c>
      <c r="GH16">
        <v>82.056528189409605</v>
      </c>
      <c r="GJ16">
        <v>92.495573283384275</v>
      </c>
      <c r="GK16">
        <v>92.583020668635058</v>
      </c>
      <c r="GL16">
        <v>92.676814467086473</v>
      </c>
      <c r="GM16">
        <v>92.777671007885871</v>
      </c>
      <c r="GN16">
        <v>92.886418543864607</v>
      </c>
      <c r="GO16">
        <v>93.004019978695069</v>
      </c>
      <c r="GP16">
        <v>93.131601360621062</v>
      </c>
      <c r="GQ16">
        <v>93.270487923183552</v>
      </c>
      <c r="GR16">
        <v>93.422250109783747</v>
      </c>
      <c r="GS16">
        <v>93.58876296038008</v>
      </c>
    </row>
    <row r="18" spans="2:201">
      <c r="B18">
        <v>96.981057406829791</v>
      </c>
      <c r="C18">
        <v>96.379248167613127</v>
      </c>
      <c r="D18">
        <v>95.872628281066795</v>
      </c>
      <c r="E18">
        <v>95.440332031005511</v>
      </c>
      <c r="F18">
        <v>95.067161725853197</v>
      </c>
      <c r="G18">
        <v>94.741789754519047</v>
      </c>
      <c r="H18">
        <v>94.45560283332631</v>
      </c>
      <c r="I18">
        <v>94.201936358159628</v>
      </c>
      <c r="J18">
        <v>93.97555367260351</v>
      </c>
      <c r="L18">
        <v>74.054604099077153</v>
      </c>
      <c r="M18">
        <v>75.379126011368342</v>
      </c>
      <c r="N18">
        <v>76.504266719204196</v>
      </c>
      <c r="O18">
        <v>77.471192290848492</v>
      </c>
      <c r="P18">
        <v>78.310630824560818</v>
      </c>
      <c r="Q18">
        <v>79.045937356601669</v>
      </c>
      <c r="R18">
        <v>79.69515353123397</v>
      </c>
      <c r="S18">
        <v>80.272421448598394</v>
      </c>
      <c r="T18">
        <v>80.788973459183325</v>
      </c>
      <c r="V18">
        <v>158.74949449286675</v>
      </c>
      <c r="W18">
        <v>130.60129464500446</v>
      </c>
      <c r="X18">
        <v>117.21611155730747</v>
      </c>
      <c r="Y18">
        <v>110.1706534118504</v>
      </c>
      <c r="Z18">
        <v>105.94539590092285</v>
      </c>
      <c r="AA18">
        <v>103.1575427400148</v>
      </c>
      <c r="AB18">
        <v>101.18879992825181</v>
      </c>
      <c r="AC18">
        <v>99.727578551401606</v>
      </c>
      <c r="AD18">
        <v>98.601384858714894</v>
      </c>
      <c r="AF18">
        <v>9.4623222080256166</v>
      </c>
      <c r="AG18">
        <v>26.56505117707799</v>
      </c>
      <c r="AH18">
        <v>39.805571092265197</v>
      </c>
      <c r="AI18">
        <v>49.398705354995535</v>
      </c>
      <c r="AJ18">
        <v>56.309932474020215</v>
      </c>
      <c r="AK18">
        <v>61.389540334034791</v>
      </c>
      <c r="AL18">
        <v>65.224859431168085</v>
      </c>
      <c r="AM18">
        <v>68.198590513648185</v>
      </c>
      <c r="AN18">
        <v>70.559965171823805</v>
      </c>
      <c r="AP18">
        <v>97.707485722964975</v>
      </c>
      <c r="AQ18">
        <v>98.601384858714894</v>
      </c>
      <c r="AR18">
        <v>99.727578551401606</v>
      </c>
      <c r="AS18">
        <v>101.18879992825181</v>
      </c>
      <c r="AT18">
        <v>103.1575427400148</v>
      </c>
      <c r="AU18">
        <v>105.94539590092285</v>
      </c>
      <c r="AV18">
        <v>110.1706534118504</v>
      </c>
      <c r="AW18">
        <v>117.21611155730747</v>
      </c>
      <c r="AX18">
        <v>130.60129464500446</v>
      </c>
      <c r="AZ18">
        <v>72.474431626277124</v>
      </c>
      <c r="BA18">
        <v>70.559965171823805</v>
      </c>
      <c r="BB18">
        <v>68.198590513648185</v>
      </c>
      <c r="BC18">
        <v>65.224859431168085</v>
      </c>
      <c r="BD18">
        <v>61.389540334034791</v>
      </c>
      <c r="BE18">
        <v>56.309932474020215</v>
      </c>
      <c r="BF18">
        <v>49.398705354995535</v>
      </c>
      <c r="BG18">
        <v>39.805571092265197</v>
      </c>
      <c r="BH18">
        <v>26.56505117707799</v>
      </c>
      <c r="BJ18">
        <v>93.772283609379841</v>
      </c>
      <c r="BK18">
        <v>93.97555367260351</v>
      </c>
      <c r="BL18">
        <v>94.201936358159628</v>
      </c>
      <c r="BM18">
        <v>94.45560283332631</v>
      </c>
      <c r="BN18">
        <v>94.741789754519047</v>
      </c>
      <c r="BO18">
        <v>95.067161725853197</v>
      </c>
      <c r="BP18">
        <v>95.440332031005511</v>
      </c>
      <c r="BQ18">
        <v>95.872628281066795</v>
      </c>
      <c r="BR18">
        <v>96.379248167613127</v>
      </c>
      <c r="BT18">
        <v>81.253837737444798</v>
      </c>
      <c r="BU18">
        <v>80.788973459183325</v>
      </c>
      <c r="BV18">
        <v>80.272421448598394</v>
      </c>
      <c r="BW18">
        <v>79.69515353123397</v>
      </c>
      <c r="BX18">
        <v>79.045937356601669</v>
      </c>
      <c r="BY18">
        <v>78.310630824560818</v>
      </c>
      <c r="BZ18">
        <v>77.471192290848492</v>
      </c>
      <c r="CA18">
        <v>76.504266719204196</v>
      </c>
      <c r="CB18">
        <v>75.379126011368342</v>
      </c>
      <c r="CD18">
        <v>92.495573283384275</v>
      </c>
      <c r="CE18">
        <v>92.583020668635058</v>
      </c>
      <c r="CF18">
        <v>92.676814467086473</v>
      </c>
      <c r="CG18">
        <v>92.777671007885871</v>
      </c>
      <c r="CH18">
        <v>92.886418543864607</v>
      </c>
      <c r="CI18">
        <v>93.004019978695069</v>
      </c>
      <c r="CJ18">
        <v>93.131601360621062</v>
      </c>
      <c r="CK18">
        <v>93.270487923183552</v>
      </c>
      <c r="CL18">
        <v>93.422250109783747</v>
      </c>
      <c r="CN18">
        <v>84.193273094468424</v>
      </c>
      <c r="CO18">
        <v>83.990994042505477</v>
      </c>
      <c r="CP18">
        <v>83.774170935574233</v>
      </c>
      <c r="CQ18">
        <v>83.541183621281348</v>
      </c>
      <c r="CR18">
        <v>83.290163192243071</v>
      </c>
      <c r="CS18">
        <v>83.018942593170209</v>
      </c>
      <c r="CT18">
        <v>82.724995042110748</v>
      </c>
      <c r="CU18">
        <v>82.405356631408566</v>
      </c>
      <c r="CV18">
        <v>82.056528189409605</v>
      </c>
      <c r="CX18">
        <v>96.981057406829791</v>
      </c>
      <c r="CY18">
        <v>96.379248167613127</v>
      </c>
      <c r="CZ18">
        <v>95.872628281066795</v>
      </c>
      <c r="DA18">
        <v>95.440332031005511</v>
      </c>
      <c r="DB18">
        <v>95.067161725853197</v>
      </c>
      <c r="DC18">
        <v>94.741789754519047</v>
      </c>
      <c r="DD18">
        <v>94.45560283332631</v>
      </c>
      <c r="DE18">
        <v>94.201936358159628</v>
      </c>
      <c r="DF18">
        <v>93.97555367260351</v>
      </c>
      <c r="DH18">
        <v>74.054604099077153</v>
      </c>
      <c r="DI18">
        <v>75.379126011368342</v>
      </c>
      <c r="DJ18">
        <v>76.504266719204196</v>
      </c>
      <c r="DK18">
        <v>77.471192290848492</v>
      </c>
      <c r="DL18">
        <v>78.310630824560818</v>
      </c>
      <c r="DM18">
        <v>79.045937356601669</v>
      </c>
      <c r="DN18">
        <v>79.69515353123397</v>
      </c>
      <c r="DO18">
        <v>80.272421448598394</v>
      </c>
      <c r="DP18">
        <v>80.788973459183325</v>
      </c>
      <c r="DR18">
        <v>158.74949449286675</v>
      </c>
      <c r="DS18">
        <v>130.60129464500446</v>
      </c>
      <c r="DT18">
        <v>117.21611155730747</v>
      </c>
      <c r="DU18">
        <v>110.1706534118504</v>
      </c>
      <c r="DV18">
        <v>105.94539590092285</v>
      </c>
      <c r="DW18">
        <v>103.1575427400148</v>
      </c>
      <c r="DX18">
        <v>101.18879992825181</v>
      </c>
      <c r="DY18">
        <v>99.727578551401606</v>
      </c>
      <c r="DZ18">
        <v>98.601384858714894</v>
      </c>
      <c r="EB18">
        <v>9.4623222080256166</v>
      </c>
      <c r="EC18">
        <v>26.56505117707799</v>
      </c>
      <c r="ED18">
        <v>39.805571092265197</v>
      </c>
      <c r="EE18">
        <v>49.398705354995535</v>
      </c>
      <c r="EF18">
        <v>56.309932474020215</v>
      </c>
      <c r="EG18">
        <v>61.389540334034791</v>
      </c>
      <c r="EH18">
        <v>65.224859431168085</v>
      </c>
      <c r="EI18">
        <v>68.198590513648185</v>
      </c>
      <c r="EJ18">
        <v>70.559965171823805</v>
      </c>
      <c r="EL18">
        <v>97.707485722964975</v>
      </c>
      <c r="EM18">
        <v>98.601384858714894</v>
      </c>
      <c r="EN18">
        <v>99.727578551401606</v>
      </c>
      <c r="EO18">
        <v>101.18879992825181</v>
      </c>
      <c r="EP18">
        <v>103.1575427400148</v>
      </c>
      <c r="EQ18">
        <v>105.94539590092285</v>
      </c>
      <c r="ER18">
        <v>110.1706534118504</v>
      </c>
      <c r="ES18">
        <v>117.21611155730747</v>
      </c>
      <c r="ET18">
        <v>130.60129464500446</v>
      </c>
      <c r="EV18">
        <v>72.474431626277124</v>
      </c>
      <c r="EW18">
        <v>70.559965171823805</v>
      </c>
      <c r="EX18">
        <v>68.198590513648185</v>
      </c>
      <c r="EY18">
        <v>65.224859431168085</v>
      </c>
      <c r="EZ18">
        <v>61.389540334034791</v>
      </c>
      <c r="FA18">
        <v>56.309932474020215</v>
      </c>
      <c r="FB18">
        <v>49.398705354995535</v>
      </c>
      <c r="FC18">
        <v>39.805571092265197</v>
      </c>
      <c r="FD18">
        <v>26.56505117707799</v>
      </c>
      <c r="FF18">
        <v>93.772283609379841</v>
      </c>
      <c r="FG18">
        <v>93.97555367260351</v>
      </c>
      <c r="FH18">
        <v>94.201936358159628</v>
      </c>
      <c r="FI18">
        <v>94.45560283332631</v>
      </c>
      <c r="FJ18">
        <v>94.741789754519047</v>
      </c>
      <c r="FK18">
        <v>95.067161725853197</v>
      </c>
      <c r="FL18">
        <v>95.440332031005511</v>
      </c>
      <c r="FM18">
        <v>95.872628281066795</v>
      </c>
      <c r="FN18">
        <v>96.379248167613127</v>
      </c>
      <c r="FP18">
        <v>81.253837737444798</v>
      </c>
      <c r="FQ18">
        <v>80.788973459183325</v>
      </c>
      <c r="FR18">
        <v>80.272421448598394</v>
      </c>
      <c r="FS18">
        <v>79.69515353123397</v>
      </c>
      <c r="FT18">
        <v>79.045937356601669</v>
      </c>
      <c r="FU18">
        <v>78.310630824560818</v>
      </c>
      <c r="FV18">
        <v>77.471192290848492</v>
      </c>
      <c r="FW18">
        <v>76.504266719204196</v>
      </c>
      <c r="FX18">
        <v>75.379126011368342</v>
      </c>
      <c r="FZ18">
        <v>92.495573283384275</v>
      </c>
      <c r="GA18">
        <v>92.583020668635058</v>
      </c>
      <c r="GB18">
        <v>92.676814467086473</v>
      </c>
      <c r="GC18">
        <v>92.777671007885871</v>
      </c>
      <c r="GD18">
        <v>92.886418543864607</v>
      </c>
      <c r="GE18">
        <v>93.004019978695069</v>
      </c>
      <c r="GF18">
        <v>93.131601360621062</v>
      </c>
      <c r="GG18">
        <v>93.270487923183552</v>
      </c>
      <c r="GH18">
        <v>93.422250109783747</v>
      </c>
      <c r="GJ18">
        <v>84.193273094468424</v>
      </c>
      <c r="GK18">
        <v>83.990994042505477</v>
      </c>
      <c r="GL18">
        <v>83.774170935574233</v>
      </c>
      <c r="GM18">
        <v>83.541183621281348</v>
      </c>
      <c r="GN18">
        <v>83.290163192243071</v>
      </c>
      <c r="GO18">
        <v>83.018942593170209</v>
      </c>
      <c r="GP18">
        <v>82.724995042110748</v>
      </c>
      <c r="GQ18">
        <v>82.405356631408566</v>
      </c>
      <c r="GR18">
        <v>82.056528189409605</v>
      </c>
      <c r="GS18">
        <v>81.674349669573161</v>
      </c>
    </row>
    <row r="19" spans="2:201">
      <c r="B19">
        <v>93.891676294080753</v>
      </c>
      <c r="C19">
        <v>93.554178235532092</v>
      </c>
      <c r="D19">
        <v>93.270487923183552</v>
      </c>
      <c r="E19">
        <v>93.028698578340581</v>
      </c>
      <c r="F19">
        <v>92.820172472448476</v>
      </c>
      <c r="G19">
        <v>92.638491825411208</v>
      </c>
      <c r="H19">
        <v>92.478789108578326</v>
      </c>
      <c r="I19">
        <v>92.337305859123816</v>
      </c>
      <c r="J19">
        <v>92.211093977171075</v>
      </c>
      <c r="L19">
        <v>76.976920329395014</v>
      </c>
      <c r="M19">
        <v>78.075476062388091</v>
      </c>
      <c r="N19">
        <v>79.005222650707879</v>
      </c>
      <c r="O19">
        <v>79.801899154376599</v>
      </c>
      <c r="P19">
        <v>80.491914399539084</v>
      </c>
      <c r="Q19">
        <v>81.095179009677949</v>
      </c>
      <c r="R19">
        <v>81.626973325217605</v>
      </c>
      <c r="S19">
        <v>82.099210576160203</v>
      </c>
      <c r="T19">
        <v>82.52131049185175</v>
      </c>
      <c r="V19">
        <v>145.00797980144134</v>
      </c>
      <c r="W19">
        <v>115.46334506187161</v>
      </c>
      <c r="X19">
        <v>105.94539590092285</v>
      </c>
      <c r="Y19">
        <v>101.53462065364472</v>
      </c>
      <c r="Z19">
        <v>99.019322431381681</v>
      </c>
      <c r="AA19">
        <v>97.3995946598871</v>
      </c>
      <c r="AB19">
        <v>96.271077449501135</v>
      </c>
      <c r="AC19">
        <v>95.440332031005511</v>
      </c>
      <c r="AD19">
        <v>94.803485759069076</v>
      </c>
      <c r="AF19">
        <v>11.633633998940436</v>
      </c>
      <c r="AG19">
        <v>31.701429669505718</v>
      </c>
      <c r="AH19">
        <v>45.830315486258016</v>
      </c>
      <c r="AI19">
        <v>55.244087446458629</v>
      </c>
      <c r="AJ19">
        <v>61.645038214675942</v>
      </c>
      <c r="AK19">
        <v>66.17573941710458</v>
      </c>
      <c r="AL19">
        <v>69.512985806669306</v>
      </c>
      <c r="AM19">
        <v>72.057552910841338</v>
      </c>
      <c r="AN19">
        <v>74.054604099077153</v>
      </c>
      <c r="AP19">
        <v>94.299862820192061</v>
      </c>
      <c r="AQ19">
        <v>94.803485759069076</v>
      </c>
      <c r="AR19">
        <v>95.440332031005511</v>
      </c>
      <c r="AS19">
        <v>96.271077449501135</v>
      </c>
      <c r="AT19">
        <v>97.3995946598871</v>
      </c>
      <c r="AU19">
        <v>99.019322431381681</v>
      </c>
      <c r="AV19">
        <v>101.53462065364472</v>
      </c>
      <c r="AW19">
        <v>105.94539590092285</v>
      </c>
      <c r="AX19">
        <v>115.46334506187161</v>
      </c>
      <c r="AZ19">
        <v>75.660071498657757</v>
      </c>
      <c r="BA19">
        <v>74.054604099077153</v>
      </c>
      <c r="BB19">
        <v>72.057552910841338</v>
      </c>
      <c r="BC19">
        <v>69.512985806669306</v>
      </c>
      <c r="BD19">
        <v>66.17573941710458</v>
      </c>
      <c r="BE19">
        <v>61.645038214675942</v>
      </c>
      <c r="BF19">
        <v>55.244087446458629</v>
      </c>
      <c r="BG19">
        <v>45.830315486258016</v>
      </c>
      <c r="BH19">
        <v>31.701429669505718</v>
      </c>
      <c r="BJ19">
        <v>92.097808586192144</v>
      </c>
      <c r="BK19">
        <v>92.211093977171075</v>
      </c>
      <c r="BL19">
        <v>92.337305859123816</v>
      </c>
      <c r="BM19">
        <v>92.478789108578326</v>
      </c>
      <c r="BN19">
        <v>92.638491825411208</v>
      </c>
      <c r="BO19">
        <v>92.820172472448476</v>
      </c>
      <c r="BP19">
        <v>93.028698578340581</v>
      </c>
      <c r="BQ19">
        <v>93.270487923183552</v>
      </c>
      <c r="BR19">
        <v>93.554178235532092</v>
      </c>
      <c r="BT19">
        <v>82.900815831274443</v>
      </c>
      <c r="BU19">
        <v>82.52131049185175</v>
      </c>
      <c r="BV19">
        <v>82.099210576160203</v>
      </c>
      <c r="BW19">
        <v>81.626973325217605</v>
      </c>
      <c r="BX19">
        <v>81.095179009677949</v>
      </c>
      <c r="BY19">
        <v>80.491914399539084</v>
      </c>
      <c r="BZ19">
        <v>79.801899154376599</v>
      </c>
      <c r="CA19">
        <v>79.005222650707879</v>
      </c>
      <c r="CB19">
        <v>78.075476062388091</v>
      </c>
      <c r="CD19">
        <v>91.38703599178065</v>
      </c>
      <c r="CE19">
        <v>91.435683897341747</v>
      </c>
      <c r="CF19">
        <v>91.487867528827778</v>
      </c>
      <c r="CG19">
        <v>91.543986789797515</v>
      </c>
      <c r="CH19">
        <v>91.604504237562352</v>
      </c>
      <c r="CI19">
        <v>91.669957849874166</v>
      </c>
      <c r="CJ19">
        <v>91.740977044928329</v>
      </c>
      <c r="CK19">
        <v>91.818302964451831</v>
      </c>
      <c r="CL19">
        <v>91.902814404315023</v>
      </c>
      <c r="CN19">
        <v>85.2937688907747</v>
      </c>
      <c r="CO19">
        <v>85.129418985999436</v>
      </c>
      <c r="CP19">
        <v>84.953205709224832</v>
      </c>
      <c r="CQ19">
        <v>84.763800178999929</v>
      </c>
      <c r="CR19">
        <v>84.559667968994489</v>
      </c>
      <c r="CS19">
        <v>84.339027906254657</v>
      </c>
      <c r="CT19">
        <v>84.099800582725166</v>
      </c>
      <c r="CU19">
        <v>83.839543466409395</v>
      </c>
      <c r="CV19">
        <v>83.55536837794223</v>
      </c>
      <c r="CX19">
        <v>93.891676294080753</v>
      </c>
      <c r="CY19">
        <v>93.554178235532092</v>
      </c>
      <c r="CZ19">
        <v>93.270487923183552</v>
      </c>
      <c r="DA19">
        <v>93.028698578340581</v>
      </c>
      <c r="DB19">
        <v>92.820172472448476</v>
      </c>
      <c r="DC19">
        <v>92.638491825411208</v>
      </c>
      <c r="DD19">
        <v>92.478789108578326</v>
      </c>
      <c r="DE19">
        <v>92.337305859123816</v>
      </c>
      <c r="DF19">
        <v>92.211093977171075</v>
      </c>
      <c r="DH19">
        <v>76.976920329395014</v>
      </c>
      <c r="DI19">
        <v>78.075476062388091</v>
      </c>
      <c r="DJ19">
        <v>79.005222650707879</v>
      </c>
      <c r="DK19">
        <v>79.801899154376599</v>
      </c>
      <c r="DL19">
        <v>80.491914399539084</v>
      </c>
      <c r="DM19">
        <v>81.095179009677949</v>
      </c>
      <c r="DN19">
        <v>81.626973325217605</v>
      </c>
      <c r="DO19">
        <v>82.099210576160203</v>
      </c>
      <c r="DP19">
        <v>82.52131049185175</v>
      </c>
      <c r="DR19">
        <v>145.00797980144134</v>
      </c>
      <c r="DS19">
        <v>115.46334506187161</v>
      </c>
      <c r="DT19">
        <v>105.94539590092285</v>
      </c>
      <c r="DU19">
        <v>101.53462065364472</v>
      </c>
      <c r="DV19">
        <v>99.019322431381681</v>
      </c>
      <c r="DW19">
        <v>97.3995946598871</v>
      </c>
      <c r="DX19">
        <v>96.271077449501135</v>
      </c>
      <c r="DY19">
        <v>95.440332031005511</v>
      </c>
      <c r="DZ19">
        <v>94.803485759069076</v>
      </c>
      <c r="EB19">
        <v>11.633633998940436</v>
      </c>
      <c r="EC19">
        <v>31.701429669505718</v>
      </c>
      <c r="ED19">
        <v>45.830315486258016</v>
      </c>
      <c r="EE19">
        <v>55.244087446458629</v>
      </c>
      <c r="EF19">
        <v>61.645038214675942</v>
      </c>
      <c r="EG19">
        <v>66.17573941710458</v>
      </c>
      <c r="EH19">
        <v>69.512985806669306</v>
      </c>
      <c r="EI19">
        <v>72.057552910841338</v>
      </c>
      <c r="EJ19">
        <v>74.054604099077153</v>
      </c>
      <c r="EL19">
        <v>94.299862820192061</v>
      </c>
      <c r="EM19">
        <v>94.803485759069076</v>
      </c>
      <c r="EN19">
        <v>95.440332031005511</v>
      </c>
      <c r="EO19">
        <v>96.271077449501135</v>
      </c>
      <c r="EP19">
        <v>97.3995946598871</v>
      </c>
      <c r="EQ19">
        <v>99.019322431381681</v>
      </c>
      <c r="ER19">
        <v>101.53462065364472</v>
      </c>
      <c r="ES19">
        <v>105.94539590092285</v>
      </c>
      <c r="ET19">
        <v>115.46334506187161</v>
      </c>
      <c r="EV19">
        <v>75.660071498657757</v>
      </c>
      <c r="EW19">
        <v>74.054604099077153</v>
      </c>
      <c r="EX19">
        <v>72.057552910841338</v>
      </c>
      <c r="EY19">
        <v>69.512985806669306</v>
      </c>
      <c r="EZ19">
        <v>66.17573941710458</v>
      </c>
      <c r="FA19">
        <v>61.645038214675942</v>
      </c>
      <c r="FB19">
        <v>55.244087446458629</v>
      </c>
      <c r="FC19">
        <v>45.830315486258016</v>
      </c>
      <c r="FD19">
        <v>31.701429669505718</v>
      </c>
      <c r="FF19">
        <v>92.097808586192144</v>
      </c>
      <c r="FG19">
        <v>92.211093977171075</v>
      </c>
      <c r="FH19">
        <v>92.337305859123816</v>
      </c>
      <c r="FI19">
        <v>92.478789108578326</v>
      </c>
      <c r="FJ19">
        <v>92.638491825411208</v>
      </c>
      <c r="FK19">
        <v>92.820172472448476</v>
      </c>
      <c r="FL19">
        <v>93.028698578340581</v>
      </c>
      <c r="FM19">
        <v>93.270487923183552</v>
      </c>
      <c r="FN19">
        <v>93.554178235532092</v>
      </c>
      <c r="FP19">
        <v>82.900815831274443</v>
      </c>
      <c r="FQ19">
        <v>82.52131049185175</v>
      </c>
      <c r="FR19">
        <v>82.099210576160203</v>
      </c>
      <c r="FS19">
        <v>81.626973325217605</v>
      </c>
      <c r="FT19">
        <v>81.095179009677949</v>
      </c>
      <c r="FU19">
        <v>80.491914399539084</v>
      </c>
      <c r="FV19">
        <v>79.801899154376599</v>
      </c>
      <c r="FW19">
        <v>79.005222650707879</v>
      </c>
      <c r="FX19">
        <v>78.075476062388091</v>
      </c>
      <c r="FZ19">
        <v>91.38703599178065</v>
      </c>
      <c r="GA19">
        <v>91.435683897341747</v>
      </c>
      <c r="GB19">
        <v>91.487867528827778</v>
      </c>
      <c r="GC19">
        <v>91.543986789797515</v>
      </c>
      <c r="GD19">
        <v>91.604504237562352</v>
      </c>
      <c r="GE19">
        <v>91.669957849874166</v>
      </c>
      <c r="GF19">
        <v>91.740977044928329</v>
      </c>
      <c r="GG19">
        <v>91.818302964451831</v>
      </c>
      <c r="GH19">
        <v>91.902814404315023</v>
      </c>
      <c r="GJ19">
        <v>85.2937688907747</v>
      </c>
      <c r="GK19">
        <v>85.129418985999436</v>
      </c>
      <c r="GL19">
        <v>84.953205709224832</v>
      </c>
      <c r="GM19">
        <v>84.763800178999929</v>
      </c>
      <c r="GN19">
        <v>84.559667968994489</v>
      </c>
      <c r="GO19">
        <v>84.339027906254657</v>
      </c>
      <c r="GP19">
        <v>84.099800582725166</v>
      </c>
      <c r="GQ19">
        <v>83.839543466409395</v>
      </c>
      <c r="GR19">
        <v>83.55536837794223</v>
      </c>
      <c r="GS19">
        <v>83.243835505138421</v>
      </c>
    </row>
    <row r="20" spans="2:201">
      <c r="B20">
        <v>90.779486321118469</v>
      </c>
      <c r="C20">
        <v>90.711712206035685</v>
      </c>
      <c r="D20">
        <v>90.65478040226769</v>
      </c>
      <c r="E20">
        <v>90.606281915517343</v>
      </c>
      <c r="F20">
        <v>90.56447217530696</v>
      </c>
      <c r="G20">
        <v>90.52805674890017</v>
      </c>
      <c r="H20">
        <v>90.496054960395242</v>
      </c>
      <c r="I20">
        <v>90.467710260038515</v>
      </c>
      <c r="J20">
        <v>90.442429658039472</v>
      </c>
      <c r="L20">
        <v>79.969786680267163</v>
      </c>
      <c r="M20">
        <v>80.826464557718083</v>
      </c>
      <c r="N20">
        <v>81.549301106397948</v>
      </c>
      <c r="O20">
        <v>82.167204433765363</v>
      </c>
      <c r="P20">
        <v>82.701360608259719</v>
      </c>
      <c r="Q20">
        <v>83.167638322583016</v>
      </c>
      <c r="R20">
        <v>83.578151616482472</v>
      </c>
      <c r="S20">
        <v>83.942304205479005</v>
      </c>
      <c r="T20">
        <v>84.267504807178383</v>
      </c>
      <c r="V20">
        <v>105.94539590092285</v>
      </c>
      <c r="W20">
        <v>95.440332031005511</v>
      </c>
      <c r="X20">
        <v>93.270487923183552</v>
      </c>
      <c r="Y20">
        <v>92.337305859123816</v>
      </c>
      <c r="Z20">
        <v>91.818302964451831</v>
      </c>
      <c r="AA20">
        <v>91.487867528827778</v>
      </c>
      <c r="AB20">
        <v>91.259045207175262</v>
      </c>
      <c r="AC20">
        <v>91.091216225262585</v>
      </c>
      <c r="AD20">
        <v>90.962863625636217</v>
      </c>
      <c r="AF20">
        <v>15.068488159492208</v>
      </c>
      <c r="AG20">
        <v>38.927543592792304</v>
      </c>
      <c r="AH20">
        <v>53.392925187392507</v>
      </c>
      <c r="AI20">
        <v>62.049030972109826</v>
      </c>
      <c r="AJ20">
        <v>67.574138078648204</v>
      </c>
      <c r="AK20">
        <v>71.342111525880469</v>
      </c>
      <c r="AL20">
        <v>74.054604099077153</v>
      </c>
      <c r="AM20">
        <v>76.092222190145307</v>
      </c>
      <c r="AN20">
        <v>77.675272565862628</v>
      </c>
      <c r="AP20">
        <v>90.861525734567252</v>
      </c>
      <c r="AQ20">
        <v>90.962863625636217</v>
      </c>
      <c r="AR20">
        <v>91.091216225262585</v>
      </c>
      <c r="AS20">
        <v>91.259045207175262</v>
      </c>
      <c r="AT20">
        <v>91.487867528827778</v>
      </c>
      <c r="AU20">
        <v>91.818302964451831</v>
      </c>
      <c r="AV20">
        <v>92.337305859123816</v>
      </c>
      <c r="AW20">
        <v>93.270487923183552</v>
      </c>
      <c r="AX20">
        <v>95.440332031005511</v>
      </c>
      <c r="AZ20">
        <v>78.938817538408202</v>
      </c>
      <c r="BA20">
        <v>77.675272565862628</v>
      </c>
      <c r="BB20">
        <v>76.092222190145307</v>
      </c>
      <c r="BC20">
        <v>74.054604099077153</v>
      </c>
      <c r="BD20">
        <v>71.342111525880469</v>
      </c>
      <c r="BE20">
        <v>67.574138078648204</v>
      </c>
      <c r="BF20">
        <v>62.049030972109826</v>
      </c>
      <c r="BG20">
        <v>53.392925187392507</v>
      </c>
      <c r="BH20">
        <v>38.927543592792304</v>
      </c>
      <c r="BJ20">
        <v>90.419741791335326</v>
      </c>
      <c r="BK20">
        <v>90.442429658039472</v>
      </c>
      <c r="BL20">
        <v>90.467710260038515</v>
      </c>
      <c r="BM20">
        <v>90.496054960395242</v>
      </c>
      <c r="BN20">
        <v>90.52805674890017</v>
      </c>
      <c r="BO20">
        <v>90.56447217530696</v>
      </c>
      <c r="BP20">
        <v>90.606281915517343</v>
      </c>
      <c r="BQ20">
        <v>90.65478040226769</v>
      </c>
      <c r="BR20">
        <v>90.711712206035685</v>
      </c>
      <c r="BT20">
        <v>84.559667968994489</v>
      </c>
      <c r="BU20">
        <v>84.267504807178383</v>
      </c>
      <c r="BV20">
        <v>83.942304205479005</v>
      </c>
      <c r="BW20">
        <v>83.578151616482472</v>
      </c>
      <c r="BX20">
        <v>83.167638322583016</v>
      </c>
      <c r="BY20">
        <v>82.701360608259719</v>
      </c>
      <c r="BZ20">
        <v>82.167204433765363</v>
      </c>
      <c r="CA20">
        <v>81.549301106397948</v>
      </c>
      <c r="CB20">
        <v>80.826464557718083</v>
      </c>
      <c r="CD20">
        <v>90.277459233122514</v>
      </c>
      <c r="CE20">
        <v>90.287194484507168</v>
      </c>
      <c r="CF20">
        <v>90.297637735723498</v>
      </c>
      <c r="CG20">
        <v>90.308869134751902</v>
      </c>
      <c r="CH20">
        <v>90.320981401193578</v>
      </c>
      <c r="CI20">
        <v>90.334082391748538</v>
      </c>
      <c r="CJ20">
        <v>90.348298320658742</v>
      </c>
      <c r="CK20">
        <v>90.363777838864564</v>
      </c>
      <c r="CL20">
        <v>90.380697251426767</v>
      </c>
      <c r="CN20">
        <v>86.39775556669359</v>
      </c>
      <c r="CO20">
        <v>86.271711495818764</v>
      </c>
      <c r="CP20">
        <v>86.136540779117155</v>
      </c>
      <c r="CQ20">
        <v>85.991216594772396</v>
      </c>
      <c r="CR20">
        <v>85.834552368700145</v>
      </c>
      <c r="CS20">
        <v>85.665169512090998</v>
      </c>
      <c r="CT20">
        <v>85.481457028533526</v>
      </c>
      <c r="CU20">
        <v>85.281520501323513</v>
      </c>
      <c r="CV20">
        <v>85.0631170629905</v>
      </c>
      <c r="CX20">
        <v>90.779486321118469</v>
      </c>
      <c r="CY20">
        <v>90.711712206035685</v>
      </c>
      <c r="CZ20">
        <v>90.65478040226769</v>
      </c>
      <c r="DA20">
        <v>90.606281915517343</v>
      </c>
      <c r="DB20">
        <v>90.56447217530696</v>
      </c>
      <c r="DC20">
        <v>90.52805674890017</v>
      </c>
      <c r="DD20">
        <v>90.496054960395242</v>
      </c>
      <c r="DE20">
        <v>90.467710260038515</v>
      </c>
      <c r="DF20">
        <v>90.442429658039472</v>
      </c>
      <c r="DH20">
        <v>79.969786680267163</v>
      </c>
      <c r="DI20">
        <v>80.826464557718083</v>
      </c>
      <c r="DJ20">
        <v>81.549301106397948</v>
      </c>
      <c r="DK20">
        <v>82.167204433765363</v>
      </c>
      <c r="DL20">
        <v>82.701360608259719</v>
      </c>
      <c r="DM20">
        <v>83.167638322583016</v>
      </c>
      <c r="DN20">
        <v>83.578151616482472</v>
      </c>
      <c r="DO20">
        <v>83.942304205479005</v>
      </c>
      <c r="DP20">
        <v>84.267504807178383</v>
      </c>
      <c r="DR20">
        <v>105.94539590092285</v>
      </c>
      <c r="DS20">
        <v>95.440332031005511</v>
      </c>
      <c r="DT20">
        <v>93.270487923183552</v>
      </c>
      <c r="DU20">
        <v>92.337305859123816</v>
      </c>
      <c r="DV20">
        <v>91.818302964451831</v>
      </c>
      <c r="DW20">
        <v>91.487867528827778</v>
      </c>
      <c r="DX20">
        <v>91.259045207175262</v>
      </c>
      <c r="DY20">
        <v>91.091216225262585</v>
      </c>
      <c r="DZ20">
        <v>90.962863625636217</v>
      </c>
      <c r="EB20">
        <v>15.068488159492208</v>
      </c>
      <c r="EC20">
        <v>38.927543592792304</v>
      </c>
      <c r="ED20">
        <v>53.392925187392507</v>
      </c>
      <c r="EE20">
        <v>62.049030972109826</v>
      </c>
      <c r="EF20">
        <v>67.574138078648204</v>
      </c>
      <c r="EG20">
        <v>71.342111525880469</v>
      </c>
      <c r="EH20">
        <v>74.054604099077153</v>
      </c>
      <c r="EI20">
        <v>76.092222190145307</v>
      </c>
      <c r="EJ20">
        <v>77.675272565862628</v>
      </c>
      <c r="EL20">
        <v>90.861525734567252</v>
      </c>
      <c r="EM20">
        <v>90.962863625636217</v>
      </c>
      <c r="EN20">
        <v>91.091216225262585</v>
      </c>
      <c r="EO20">
        <v>91.259045207175262</v>
      </c>
      <c r="EP20">
        <v>91.487867528827778</v>
      </c>
      <c r="EQ20">
        <v>91.818302964451831</v>
      </c>
      <c r="ER20">
        <v>92.337305859123816</v>
      </c>
      <c r="ES20">
        <v>93.270487923183552</v>
      </c>
      <c r="ET20">
        <v>95.440332031005511</v>
      </c>
      <c r="EV20">
        <v>78.938817538408202</v>
      </c>
      <c r="EW20">
        <v>77.675272565862628</v>
      </c>
      <c r="EX20">
        <v>76.092222190145307</v>
      </c>
      <c r="EY20">
        <v>74.054604099077153</v>
      </c>
      <c r="EZ20">
        <v>71.342111525880469</v>
      </c>
      <c r="FA20">
        <v>67.574138078648204</v>
      </c>
      <c r="FB20">
        <v>62.049030972109826</v>
      </c>
      <c r="FC20">
        <v>53.392925187392507</v>
      </c>
      <c r="FD20">
        <v>38.927543592792304</v>
      </c>
      <c r="FF20">
        <v>90.419741791335326</v>
      </c>
      <c r="FG20">
        <v>90.442429658039472</v>
      </c>
      <c r="FH20">
        <v>90.467710260038515</v>
      </c>
      <c r="FI20">
        <v>90.496054960395242</v>
      </c>
      <c r="FJ20">
        <v>90.52805674890017</v>
      </c>
      <c r="FK20">
        <v>90.56447217530696</v>
      </c>
      <c r="FL20">
        <v>90.606281915517343</v>
      </c>
      <c r="FM20">
        <v>90.65478040226769</v>
      </c>
      <c r="FN20">
        <v>90.711712206035685</v>
      </c>
      <c r="FP20">
        <v>84.559667968994489</v>
      </c>
      <c r="FQ20">
        <v>84.267504807178383</v>
      </c>
      <c r="FR20">
        <v>83.942304205479005</v>
      </c>
      <c r="FS20">
        <v>83.578151616482472</v>
      </c>
      <c r="FT20">
        <v>83.167638322583016</v>
      </c>
      <c r="FU20">
        <v>82.701360608259719</v>
      </c>
      <c r="FV20">
        <v>82.167204433765363</v>
      </c>
      <c r="FW20">
        <v>81.549301106397948</v>
      </c>
      <c r="FX20">
        <v>80.826464557718083</v>
      </c>
      <c r="FZ20">
        <v>90.277459233122514</v>
      </c>
      <c r="GA20">
        <v>90.287194484507168</v>
      </c>
      <c r="GB20">
        <v>90.297637735723498</v>
      </c>
      <c r="GC20">
        <v>90.308869134751902</v>
      </c>
      <c r="GD20">
        <v>90.320981401193578</v>
      </c>
      <c r="GE20">
        <v>90.334082391748538</v>
      </c>
      <c r="GF20">
        <v>90.348298320658742</v>
      </c>
      <c r="GG20">
        <v>90.363777838864564</v>
      </c>
      <c r="GH20">
        <v>90.380697251426767</v>
      </c>
      <c r="GJ20">
        <v>86.39775556669359</v>
      </c>
      <c r="GK20">
        <v>86.271711495818764</v>
      </c>
      <c r="GL20">
        <v>86.136540779117155</v>
      </c>
      <c r="GM20">
        <v>85.991216594772396</v>
      </c>
      <c r="GN20">
        <v>85.834552368700145</v>
      </c>
      <c r="GO20">
        <v>85.665169512090998</v>
      </c>
      <c r="GP20">
        <v>85.481457028533526</v>
      </c>
      <c r="GQ20">
        <v>85.281520501323513</v>
      </c>
      <c r="GR20">
        <v>85.0631170629905</v>
      </c>
      <c r="GS20">
        <v>84.82357165074086</v>
      </c>
    </row>
    <row r="21" spans="2:201" s="64" customFormat="1">
      <c r="B21" s="64">
        <v>87.662694140876184</v>
      </c>
      <c r="C21" s="64">
        <v>87.865741237497716</v>
      </c>
      <c r="D21" s="64">
        <v>88.036342465948039</v>
      </c>
      <c r="E21" s="64">
        <v>88.181697035548169</v>
      </c>
      <c r="F21" s="64">
        <v>88.307021562371105</v>
      </c>
      <c r="G21" s="64">
        <v>88.41618842913806</v>
      </c>
      <c r="H21" s="64">
        <v>88.512132471172222</v>
      </c>
      <c r="I21" s="64">
        <v>88.597118467348537</v>
      </c>
      <c r="J21" s="64">
        <v>88.672922009125898</v>
      </c>
      <c r="L21" s="64">
        <v>83.018942593170209</v>
      </c>
      <c r="M21" s="64">
        <v>83.620751832386873</v>
      </c>
      <c r="N21" s="64">
        <v>84.127371718933205</v>
      </c>
      <c r="O21" s="64">
        <v>84.559667968994489</v>
      </c>
      <c r="P21" s="64">
        <v>84.932838274146803</v>
      </c>
      <c r="Q21" s="64">
        <v>85.258210245480953</v>
      </c>
      <c r="R21" s="64">
        <v>85.54439716667369</v>
      </c>
      <c r="S21" s="64">
        <v>85.798063641840372</v>
      </c>
      <c r="T21" s="64">
        <v>86.02444632739649</v>
      </c>
      <c r="V21" s="64">
        <v>49.398705354995535</v>
      </c>
      <c r="W21" s="64">
        <v>74.054604099077153</v>
      </c>
      <c r="X21" s="64">
        <v>80.272421448598394</v>
      </c>
      <c r="Y21" s="64">
        <v>83.018942593170209</v>
      </c>
      <c r="Z21" s="64">
        <v>84.559667968994489</v>
      </c>
      <c r="AA21" s="64">
        <v>85.54439716667369</v>
      </c>
      <c r="AB21" s="64">
        <v>86.227716390620159</v>
      </c>
      <c r="AC21" s="64">
        <v>86.729512076816448</v>
      </c>
      <c r="AD21" s="64">
        <v>87.113581456135393</v>
      </c>
      <c r="AF21" s="64">
        <v>21.250505507133241</v>
      </c>
      <c r="AG21" s="64">
        <v>49.398705354995535</v>
      </c>
      <c r="AH21" s="64">
        <v>62.783888442692529</v>
      </c>
      <c r="AI21" s="64">
        <v>69.829346588149605</v>
      </c>
      <c r="AJ21" s="64">
        <v>74.054604099077153</v>
      </c>
      <c r="AK21" s="64">
        <v>76.842457259985196</v>
      </c>
      <c r="AL21" s="64">
        <v>78.811200071748189</v>
      </c>
      <c r="AM21" s="64">
        <v>80.272421448598394</v>
      </c>
      <c r="AN21" s="64">
        <v>81.398615141285106</v>
      </c>
      <c r="AP21" s="64">
        <v>87.416979331364942</v>
      </c>
      <c r="AQ21" s="64">
        <v>87.113581456135393</v>
      </c>
      <c r="AR21" s="64">
        <v>86.729512076816448</v>
      </c>
      <c r="AS21" s="64">
        <v>86.227716390620159</v>
      </c>
      <c r="AT21" s="64">
        <v>85.54439716667369</v>
      </c>
      <c r="AU21" s="64">
        <v>84.559667968994489</v>
      </c>
      <c r="AV21" s="64">
        <v>83.018942593170209</v>
      </c>
      <c r="AW21" s="64">
        <v>80.272421448598394</v>
      </c>
      <c r="AX21" s="64">
        <v>74.054604099077153</v>
      </c>
      <c r="AZ21" s="64">
        <v>82.292514277035025</v>
      </c>
      <c r="BA21" s="64">
        <v>81.398615141285106</v>
      </c>
      <c r="BB21" s="64">
        <v>80.272421448598394</v>
      </c>
      <c r="BC21" s="64">
        <v>78.811200071748189</v>
      </c>
      <c r="BD21" s="64">
        <v>76.842457259985196</v>
      </c>
      <c r="BE21" s="64">
        <v>74.054604099077153</v>
      </c>
      <c r="BF21" s="64">
        <v>69.829346588149605</v>
      </c>
      <c r="BG21" s="64">
        <v>62.783888442692529</v>
      </c>
      <c r="BH21" s="64">
        <v>49.398705354995535</v>
      </c>
      <c r="BJ21" s="64">
        <v>88.740954792824738</v>
      </c>
      <c r="BK21" s="64">
        <v>88.672922009125898</v>
      </c>
      <c r="BL21" s="64">
        <v>88.597118467348537</v>
      </c>
      <c r="BM21" s="64">
        <v>88.512132471172222</v>
      </c>
      <c r="BN21" s="64">
        <v>88.41618842913806</v>
      </c>
      <c r="BO21" s="64">
        <v>88.307021562371105</v>
      </c>
      <c r="BP21" s="64">
        <v>88.181697035548169</v>
      </c>
      <c r="BQ21" s="64">
        <v>88.036342465948039</v>
      </c>
      <c r="BR21" s="64">
        <v>87.865741237497716</v>
      </c>
      <c r="BT21" s="64">
        <v>86.227716390620159</v>
      </c>
      <c r="BU21" s="64">
        <v>86.02444632739649</v>
      </c>
      <c r="BV21" s="64">
        <v>85.798063641840372</v>
      </c>
      <c r="BW21" s="64">
        <v>85.54439716667369</v>
      </c>
      <c r="BX21" s="64">
        <v>85.258210245480953</v>
      </c>
      <c r="BY21" s="64">
        <v>84.932838274146803</v>
      </c>
      <c r="BZ21" s="64">
        <v>84.559667968994489</v>
      </c>
      <c r="CA21" s="64">
        <v>84.127371718933205</v>
      </c>
      <c r="CB21" s="64">
        <v>83.620751832386873</v>
      </c>
      <c r="CD21" s="64">
        <v>89.167674347110776</v>
      </c>
      <c r="CE21" s="64">
        <v>89.138474265432748</v>
      </c>
      <c r="CF21" s="64">
        <v>89.107151039423016</v>
      </c>
      <c r="CG21" s="64">
        <v>89.073464392556005</v>
      </c>
      <c r="CH21" s="64">
        <v>89.037136374363783</v>
      </c>
      <c r="CI21" s="64">
        <v>88.997843676162361</v>
      </c>
      <c r="CJ21" s="64">
        <v>88.955207986193514</v>
      </c>
      <c r="CK21" s="64">
        <v>88.908783774737415</v>
      </c>
      <c r="CL21" s="64">
        <v>88.858042673210974</v>
      </c>
      <c r="CN21" s="64">
        <v>87.504426716615725</v>
      </c>
      <c r="CO21" s="64">
        <v>87.416979331364942</v>
      </c>
      <c r="CP21" s="64">
        <v>87.323185532913527</v>
      </c>
      <c r="CQ21" s="64">
        <v>87.222328992114129</v>
      </c>
      <c r="CR21" s="64">
        <v>87.113581456135393</v>
      </c>
      <c r="CS21" s="64">
        <v>86.995980021304931</v>
      </c>
      <c r="CT21" s="64">
        <v>86.868398639378938</v>
      </c>
      <c r="CU21" s="64">
        <v>86.729512076816448</v>
      </c>
      <c r="CV21" s="64">
        <v>86.577749890216253</v>
      </c>
      <c r="CX21" s="64">
        <v>87.662694140876184</v>
      </c>
      <c r="CY21" s="64">
        <v>87.865741237497716</v>
      </c>
      <c r="CZ21" s="64">
        <v>88.036342465948039</v>
      </c>
      <c r="DA21" s="64">
        <v>88.181697035548169</v>
      </c>
      <c r="DB21" s="64">
        <v>88.307021562371105</v>
      </c>
      <c r="DC21" s="64">
        <v>88.41618842913806</v>
      </c>
      <c r="DD21" s="64">
        <v>88.512132471172222</v>
      </c>
      <c r="DE21" s="64">
        <v>88.597118467348537</v>
      </c>
      <c r="DF21" s="64">
        <v>88.672922009125898</v>
      </c>
      <c r="DH21" s="64">
        <v>83.018942593170209</v>
      </c>
      <c r="DI21" s="64">
        <v>83.620751832386873</v>
      </c>
      <c r="DJ21" s="64">
        <v>84.127371718933205</v>
      </c>
      <c r="DK21" s="64">
        <v>84.559667968994489</v>
      </c>
      <c r="DL21" s="64">
        <v>84.932838274146803</v>
      </c>
      <c r="DM21" s="64">
        <v>85.258210245480953</v>
      </c>
      <c r="DN21" s="64">
        <v>85.54439716667369</v>
      </c>
      <c r="DO21" s="64">
        <v>85.798063641840372</v>
      </c>
      <c r="DP21" s="64">
        <v>86.02444632739649</v>
      </c>
      <c r="DR21" s="64">
        <v>49.398705354995535</v>
      </c>
      <c r="DS21" s="64">
        <v>74.054604099077153</v>
      </c>
      <c r="DT21" s="64">
        <v>80.272421448598394</v>
      </c>
      <c r="DU21" s="64">
        <v>83.018942593170209</v>
      </c>
      <c r="DV21" s="64">
        <v>84.559667968994489</v>
      </c>
      <c r="DW21" s="64">
        <v>85.54439716667369</v>
      </c>
      <c r="DX21" s="64">
        <v>86.227716390620159</v>
      </c>
      <c r="DY21" s="64">
        <v>86.729512076816448</v>
      </c>
      <c r="DZ21" s="64">
        <v>87.113581456135393</v>
      </c>
      <c r="EB21" s="64">
        <v>21.250505507133241</v>
      </c>
      <c r="EC21" s="64">
        <v>49.398705354995535</v>
      </c>
      <c r="ED21" s="64">
        <v>62.783888442692529</v>
      </c>
      <c r="EE21" s="64">
        <v>69.829346588149605</v>
      </c>
      <c r="EF21" s="64">
        <v>74.054604099077153</v>
      </c>
      <c r="EG21" s="64">
        <v>76.842457259985196</v>
      </c>
      <c r="EH21" s="64">
        <v>78.811200071748189</v>
      </c>
      <c r="EI21" s="64">
        <v>80.272421448598394</v>
      </c>
      <c r="EJ21" s="64">
        <v>81.398615141285106</v>
      </c>
      <c r="EL21" s="64">
        <v>87.416979331364942</v>
      </c>
      <c r="EM21" s="64">
        <v>87.113581456135393</v>
      </c>
      <c r="EN21" s="64">
        <v>86.729512076816448</v>
      </c>
      <c r="EO21" s="64">
        <v>86.227716390620159</v>
      </c>
      <c r="EP21" s="64">
        <v>85.54439716667369</v>
      </c>
      <c r="EQ21" s="64">
        <v>84.559667968994489</v>
      </c>
      <c r="ER21" s="64">
        <v>83.018942593170209</v>
      </c>
      <c r="ES21" s="64">
        <v>80.272421448598394</v>
      </c>
      <c r="ET21" s="64">
        <v>74.054604099077153</v>
      </c>
      <c r="EV21" s="64">
        <v>82.292514277035025</v>
      </c>
      <c r="EW21" s="64">
        <v>81.398615141285106</v>
      </c>
      <c r="EX21" s="64">
        <v>80.272421448598394</v>
      </c>
      <c r="EY21" s="64">
        <v>78.811200071748189</v>
      </c>
      <c r="EZ21" s="64">
        <v>76.842457259985196</v>
      </c>
      <c r="FA21" s="64">
        <v>74.054604099077153</v>
      </c>
      <c r="FB21" s="64">
        <v>69.829346588149605</v>
      </c>
      <c r="FC21" s="64">
        <v>62.783888442692529</v>
      </c>
      <c r="FD21" s="64">
        <v>49.398705354995535</v>
      </c>
      <c r="FF21" s="64">
        <v>88.740954792824738</v>
      </c>
      <c r="FG21" s="64">
        <v>88.672922009125898</v>
      </c>
      <c r="FH21" s="64">
        <v>88.597118467348537</v>
      </c>
      <c r="FI21" s="64">
        <v>88.512132471172222</v>
      </c>
      <c r="FJ21" s="64">
        <v>88.41618842913806</v>
      </c>
      <c r="FK21" s="64">
        <v>88.307021562371105</v>
      </c>
      <c r="FL21" s="64">
        <v>88.181697035548169</v>
      </c>
      <c r="FM21" s="64">
        <v>88.036342465948039</v>
      </c>
      <c r="FN21" s="64">
        <v>87.865741237497716</v>
      </c>
      <c r="FP21" s="64">
        <v>86.227716390620159</v>
      </c>
      <c r="FQ21" s="64">
        <v>86.02444632739649</v>
      </c>
      <c r="FR21" s="64">
        <v>85.798063641840372</v>
      </c>
      <c r="FS21" s="64">
        <v>85.54439716667369</v>
      </c>
      <c r="FT21" s="64">
        <v>85.258210245480953</v>
      </c>
      <c r="FU21" s="64">
        <v>84.932838274146803</v>
      </c>
      <c r="FV21" s="64">
        <v>84.559667968994489</v>
      </c>
      <c r="FW21" s="64">
        <v>84.127371718933205</v>
      </c>
      <c r="FX21" s="64">
        <v>83.620751832386873</v>
      </c>
      <c r="FZ21" s="64">
        <v>89.167674347110776</v>
      </c>
      <c r="GA21" s="64">
        <v>89.138474265432748</v>
      </c>
      <c r="GB21" s="64">
        <v>89.107151039423016</v>
      </c>
      <c r="GC21" s="64">
        <v>89.073464392556005</v>
      </c>
      <c r="GD21" s="64">
        <v>89.037136374363783</v>
      </c>
      <c r="GE21" s="64">
        <v>88.997843676162361</v>
      </c>
      <c r="GF21" s="64">
        <v>88.955207986193514</v>
      </c>
      <c r="GG21" s="64">
        <v>88.908783774737415</v>
      </c>
      <c r="GH21" s="64">
        <v>88.858042673210974</v>
      </c>
      <c r="GJ21" s="64">
        <v>87.504426716615725</v>
      </c>
      <c r="GK21" s="64">
        <v>87.416979331364942</v>
      </c>
      <c r="GL21" s="64">
        <v>87.323185532913527</v>
      </c>
      <c r="GM21" s="64">
        <v>87.222328992114129</v>
      </c>
      <c r="GN21" s="64">
        <v>87.113581456135393</v>
      </c>
      <c r="GO21" s="64">
        <v>86.995980021304931</v>
      </c>
      <c r="GP21" s="64">
        <v>86.868398639378938</v>
      </c>
      <c r="GQ21" s="64">
        <v>86.729512076816448</v>
      </c>
      <c r="GR21" s="64">
        <v>86.577749890216253</v>
      </c>
      <c r="GS21" s="64">
        <v>86.41123703961992</v>
      </c>
    </row>
    <row r="22" spans="2:201" s="64" customFormat="1">
      <c r="B22" s="64">
        <v>83.018942593170209</v>
      </c>
      <c r="C22" s="64">
        <v>83.620751832386873</v>
      </c>
      <c r="D22" s="64">
        <v>84.127371718933205</v>
      </c>
      <c r="E22" s="64">
        <v>84.559667968994489</v>
      </c>
      <c r="F22" s="64">
        <v>84.932838274146803</v>
      </c>
      <c r="G22" s="64">
        <v>85.258210245480953</v>
      </c>
      <c r="H22" s="64">
        <v>85.54439716667369</v>
      </c>
      <c r="I22" s="64">
        <v>85.798063641840372</v>
      </c>
      <c r="J22" s="64">
        <v>86.02444632739649</v>
      </c>
      <c r="L22" s="64">
        <v>87.662694140876184</v>
      </c>
      <c r="M22" s="64">
        <v>87.865741237497716</v>
      </c>
      <c r="N22" s="64">
        <v>88.036342465948039</v>
      </c>
      <c r="O22" s="64">
        <v>88.181697035548169</v>
      </c>
      <c r="P22" s="64">
        <v>88.307021562371105</v>
      </c>
      <c r="Q22" s="64">
        <v>88.41618842913806</v>
      </c>
      <c r="R22" s="64">
        <v>88.512132471172222</v>
      </c>
      <c r="S22" s="64">
        <v>88.597118467348537</v>
      </c>
      <c r="T22" s="64">
        <v>88.672922009125898</v>
      </c>
      <c r="V22" s="64">
        <v>21.250505507133241</v>
      </c>
      <c r="W22" s="64">
        <v>49.398705354995535</v>
      </c>
      <c r="X22" s="64">
        <v>62.783888442692529</v>
      </c>
      <c r="Y22" s="64">
        <v>69.829346588149605</v>
      </c>
      <c r="Z22" s="64">
        <v>74.054604099077153</v>
      </c>
      <c r="AA22" s="64">
        <v>76.842457259985196</v>
      </c>
      <c r="AB22" s="64">
        <v>78.811200071748189</v>
      </c>
      <c r="AC22" s="64">
        <v>80.272421448598394</v>
      </c>
      <c r="AD22" s="64">
        <v>81.398615141285106</v>
      </c>
      <c r="AF22" s="64">
        <v>49.398705354995535</v>
      </c>
      <c r="AG22" s="64">
        <v>74.054604099077153</v>
      </c>
      <c r="AH22" s="64">
        <v>80.272421448598394</v>
      </c>
      <c r="AI22" s="64">
        <v>83.018942593170209</v>
      </c>
      <c r="AJ22" s="64">
        <v>84.559667968994489</v>
      </c>
      <c r="AK22" s="64">
        <v>85.54439716667369</v>
      </c>
      <c r="AL22" s="64">
        <v>86.227716390620159</v>
      </c>
      <c r="AM22" s="64">
        <v>86.729512076816448</v>
      </c>
      <c r="AN22" s="64">
        <v>87.113581456135393</v>
      </c>
      <c r="AP22" s="64">
        <v>82.292514277035025</v>
      </c>
      <c r="AQ22" s="64">
        <v>81.398615141285106</v>
      </c>
      <c r="AR22" s="64">
        <v>80.272421448598394</v>
      </c>
      <c r="AS22" s="64">
        <v>78.811200071748189</v>
      </c>
      <c r="AT22" s="64">
        <v>76.842457259985196</v>
      </c>
      <c r="AU22" s="64">
        <v>74.054604099077153</v>
      </c>
      <c r="AV22" s="64">
        <v>69.829346588149605</v>
      </c>
      <c r="AW22" s="64">
        <v>62.783888442692529</v>
      </c>
      <c r="AX22" s="64">
        <v>49.398705354995535</v>
      </c>
      <c r="AZ22" s="64">
        <v>87.416979331364942</v>
      </c>
      <c r="BA22" s="64">
        <v>87.113581456135393</v>
      </c>
      <c r="BB22" s="64">
        <v>86.729512076816448</v>
      </c>
      <c r="BC22" s="64">
        <v>86.227716390620159</v>
      </c>
      <c r="BD22" s="64">
        <v>85.54439716667369</v>
      </c>
      <c r="BE22" s="64">
        <v>84.559667968994489</v>
      </c>
      <c r="BF22" s="64">
        <v>83.018942593170209</v>
      </c>
      <c r="BG22" s="64">
        <v>80.272421448598394</v>
      </c>
      <c r="BH22" s="64">
        <v>74.054604099077153</v>
      </c>
      <c r="BJ22" s="64">
        <v>86.227716390620159</v>
      </c>
      <c r="BK22" s="64">
        <v>86.02444632739649</v>
      </c>
      <c r="BL22" s="64">
        <v>85.798063641840372</v>
      </c>
      <c r="BM22" s="64">
        <v>85.54439716667369</v>
      </c>
      <c r="BN22" s="64">
        <v>85.258210245480953</v>
      </c>
      <c r="BO22" s="64">
        <v>84.932838274146803</v>
      </c>
      <c r="BP22" s="64">
        <v>84.559667968994489</v>
      </c>
      <c r="BQ22" s="64">
        <v>84.127371718933205</v>
      </c>
      <c r="BR22" s="64">
        <v>83.620751832386873</v>
      </c>
      <c r="BT22" s="64">
        <v>88.740954792824738</v>
      </c>
      <c r="BU22" s="64">
        <v>88.672922009125898</v>
      </c>
      <c r="BV22" s="64">
        <v>88.597118467348537</v>
      </c>
      <c r="BW22" s="64">
        <v>88.512132471172222</v>
      </c>
      <c r="BX22" s="64">
        <v>88.41618842913806</v>
      </c>
      <c r="BY22" s="64">
        <v>88.307021562371105</v>
      </c>
      <c r="BZ22" s="64">
        <v>88.181697035548169</v>
      </c>
      <c r="CA22" s="64">
        <v>88.036342465948039</v>
      </c>
      <c r="CB22" s="64">
        <v>87.865741237497716</v>
      </c>
      <c r="CD22" s="64">
        <v>87.504426716615725</v>
      </c>
      <c r="CE22" s="64">
        <v>87.416979331364942</v>
      </c>
      <c r="CF22" s="64">
        <v>87.323185532913527</v>
      </c>
      <c r="CG22" s="64">
        <v>87.222328992114129</v>
      </c>
      <c r="CH22" s="64">
        <v>87.113581456135393</v>
      </c>
      <c r="CI22" s="64">
        <v>86.995980021304931</v>
      </c>
      <c r="CJ22" s="64">
        <v>86.868398639378938</v>
      </c>
      <c r="CK22" s="64">
        <v>86.729512076816448</v>
      </c>
      <c r="CL22" s="64">
        <v>86.577749890216253</v>
      </c>
      <c r="CN22" s="64">
        <v>89.167674347110776</v>
      </c>
      <c r="CO22" s="64">
        <v>89.138474265432748</v>
      </c>
      <c r="CP22" s="64">
        <v>89.107151039423016</v>
      </c>
      <c r="CQ22" s="64">
        <v>89.073464392556005</v>
      </c>
      <c r="CR22" s="64">
        <v>89.037136374363783</v>
      </c>
      <c r="CS22" s="64">
        <v>88.997843676162361</v>
      </c>
      <c r="CT22" s="64">
        <v>88.955207986193514</v>
      </c>
      <c r="CU22" s="64">
        <v>88.908783774737415</v>
      </c>
      <c r="CV22" s="64">
        <v>88.858042673210974</v>
      </c>
      <c r="CX22" s="64">
        <v>83.018942593170209</v>
      </c>
      <c r="CY22" s="64">
        <v>83.620751832386873</v>
      </c>
      <c r="CZ22" s="64">
        <v>84.127371718933205</v>
      </c>
      <c r="DA22" s="64">
        <v>84.559667968994489</v>
      </c>
      <c r="DB22" s="64">
        <v>84.932838274146803</v>
      </c>
      <c r="DC22" s="64">
        <v>85.258210245480953</v>
      </c>
      <c r="DD22" s="64">
        <v>85.54439716667369</v>
      </c>
      <c r="DE22" s="64">
        <v>85.798063641840372</v>
      </c>
      <c r="DF22" s="64">
        <v>86.02444632739649</v>
      </c>
      <c r="DH22" s="64">
        <v>87.662694140876184</v>
      </c>
      <c r="DI22" s="64">
        <v>87.865741237497716</v>
      </c>
      <c r="DJ22" s="64">
        <v>88.036342465948039</v>
      </c>
      <c r="DK22" s="64">
        <v>88.181697035548169</v>
      </c>
      <c r="DL22" s="64">
        <v>88.307021562371105</v>
      </c>
      <c r="DM22" s="64">
        <v>88.41618842913806</v>
      </c>
      <c r="DN22" s="64">
        <v>88.512132471172222</v>
      </c>
      <c r="DO22" s="64">
        <v>88.597118467348537</v>
      </c>
      <c r="DP22" s="64">
        <v>88.672922009125898</v>
      </c>
      <c r="DR22" s="64">
        <v>21.250505507133241</v>
      </c>
      <c r="DS22" s="64">
        <v>49.398705354995535</v>
      </c>
      <c r="DT22" s="64">
        <v>62.783888442692529</v>
      </c>
      <c r="DU22" s="64">
        <v>69.829346588149605</v>
      </c>
      <c r="DV22" s="64">
        <v>74.054604099077153</v>
      </c>
      <c r="DW22" s="64">
        <v>76.842457259985196</v>
      </c>
      <c r="DX22" s="64">
        <v>78.811200071748189</v>
      </c>
      <c r="DY22" s="64">
        <v>80.272421448598394</v>
      </c>
      <c r="DZ22" s="64">
        <v>81.398615141285106</v>
      </c>
      <c r="EB22" s="64">
        <v>49.398705354995535</v>
      </c>
      <c r="EC22" s="64">
        <v>74.054604099077153</v>
      </c>
      <c r="ED22" s="64">
        <v>80.272421448598394</v>
      </c>
      <c r="EE22" s="64">
        <v>83.018942593170209</v>
      </c>
      <c r="EF22" s="64">
        <v>84.559667968994489</v>
      </c>
      <c r="EG22" s="64">
        <v>85.54439716667369</v>
      </c>
      <c r="EH22" s="64">
        <v>86.227716390620159</v>
      </c>
      <c r="EI22" s="64">
        <v>86.729512076816448</v>
      </c>
      <c r="EJ22" s="64">
        <v>87.113581456135393</v>
      </c>
      <c r="EL22" s="64">
        <v>82.292514277035025</v>
      </c>
      <c r="EM22" s="64">
        <v>81.398615141285106</v>
      </c>
      <c r="EN22" s="64">
        <v>80.272421448598394</v>
      </c>
      <c r="EO22" s="64">
        <v>78.811200071748189</v>
      </c>
      <c r="EP22" s="64">
        <v>76.842457259985196</v>
      </c>
      <c r="EQ22" s="64">
        <v>74.054604099077153</v>
      </c>
      <c r="ER22" s="64">
        <v>69.829346588149605</v>
      </c>
      <c r="ES22" s="64">
        <v>62.783888442692529</v>
      </c>
      <c r="ET22" s="64">
        <v>49.398705354995535</v>
      </c>
      <c r="EV22" s="64">
        <v>87.416979331364942</v>
      </c>
      <c r="EW22" s="64">
        <v>87.113581456135393</v>
      </c>
      <c r="EX22" s="64">
        <v>86.729512076816448</v>
      </c>
      <c r="EY22" s="64">
        <v>86.227716390620159</v>
      </c>
      <c r="EZ22" s="64">
        <v>85.54439716667369</v>
      </c>
      <c r="FA22" s="64">
        <v>84.559667968994489</v>
      </c>
      <c r="FB22" s="64">
        <v>83.018942593170209</v>
      </c>
      <c r="FC22" s="64">
        <v>80.272421448598394</v>
      </c>
      <c r="FD22" s="64">
        <v>74.054604099077153</v>
      </c>
      <c r="FF22" s="64">
        <v>86.227716390620159</v>
      </c>
      <c r="FG22" s="64">
        <v>86.02444632739649</v>
      </c>
      <c r="FH22" s="64">
        <v>85.798063641840372</v>
      </c>
      <c r="FI22" s="64">
        <v>85.54439716667369</v>
      </c>
      <c r="FJ22" s="64">
        <v>85.258210245480953</v>
      </c>
      <c r="FK22" s="64">
        <v>84.932838274146803</v>
      </c>
      <c r="FL22" s="64">
        <v>84.559667968994489</v>
      </c>
      <c r="FM22" s="64">
        <v>84.127371718933205</v>
      </c>
      <c r="FN22" s="64">
        <v>83.620751832386873</v>
      </c>
      <c r="FP22" s="64">
        <v>88.740954792824738</v>
      </c>
      <c r="FQ22" s="64">
        <v>88.672922009125898</v>
      </c>
      <c r="FR22" s="64">
        <v>88.597118467348537</v>
      </c>
      <c r="FS22" s="64">
        <v>88.512132471172222</v>
      </c>
      <c r="FT22" s="64">
        <v>88.41618842913806</v>
      </c>
      <c r="FU22" s="64">
        <v>88.307021562371105</v>
      </c>
      <c r="FV22" s="64">
        <v>88.181697035548169</v>
      </c>
      <c r="FW22" s="64">
        <v>88.036342465948039</v>
      </c>
      <c r="FX22" s="64">
        <v>87.865741237497716</v>
      </c>
      <c r="FZ22" s="64">
        <v>87.504426716615725</v>
      </c>
      <c r="GA22" s="64">
        <v>87.416979331364942</v>
      </c>
      <c r="GB22" s="64">
        <v>87.323185532913527</v>
      </c>
      <c r="GC22" s="64">
        <v>87.222328992114129</v>
      </c>
      <c r="GD22" s="64">
        <v>87.113581456135393</v>
      </c>
      <c r="GE22" s="64">
        <v>86.995980021304931</v>
      </c>
      <c r="GF22" s="64">
        <v>86.868398639378938</v>
      </c>
      <c r="GG22" s="64">
        <v>86.729512076816448</v>
      </c>
      <c r="GH22" s="64">
        <v>86.577749890216253</v>
      </c>
      <c r="GJ22" s="64">
        <v>89.167674347110776</v>
      </c>
      <c r="GK22" s="64">
        <v>89.138474265432748</v>
      </c>
      <c r="GL22" s="64">
        <v>89.107151039423016</v>
      </c>
      <c r="GM22" s="64">
        <v>89.073464392556005</v>
      </c>
      <c r="GN22" s="64">
        <v>89.037136374363783</v>
      </c>
      <c r="GO22" s="64">
        <v>88.997843676162361</v>
      </c>
      <c r="GP22" s="64">
        <v>88.955207986193514</v>
      </c>
      <c r="GQ22" s="64">
        <v>88.908783774737415</v>
      </c>
      <c r="GR22" s="64">
        <v>88.858042673210974</v>
      </c>
      <c r="GS22" s="64">
        <v>88.802353285391604</v>
      </c>
    </row>
    <row r="23" spans="2:201">
      <c r="B23">
        <v>79.969786680267163</v>
      </c>
      <c r="C23">
        <v>80.826464557718083</v>
      </c>
      <c r="D23">
        <v>81.549301106397948</v>
      </c>
      <c r="E23">
        <v>82.167204433765363</v>
      </c>
      <c r="F23">
        <v>82.701360608259719</v>
      </c>
      <c r="G23">
        <v>83.167638322583016</v>
      </c>
      <c r="H23">
        <v>83.578151616482472</v>
      </c>
      <c r="I23">
        <v>83.942304205479005</v>
      </c>
      <c r="J23">
        <v>84.267504807178383</v>
      </c>
      <c r="L23">
        <v>90.779486321118469</v>
      </c>
      <c r="M23">
        <v>90.711712206035685</v>
      </c>
      <c r="N23">
        <v>90.65478040226769</v>
      </c>
      <c r="O23">
        <v>90.606281915517343</v>
      </c>
      <c r="P23">
        <v>90.56447217530696</v>
      </c>
      <c r="Q23">
        <v>90.52805674890017</v>
      </c>
      <c r="R23">
        <v>90.496054960395242</v>
      </c>
      <c r="S23">
        <v>90.467710260038515</v>
      </c>
      <c r="T23">
        <v>90.442429658039472</v>
      </c>
      <c r="V23">
        <v>15.068488159492208</v>
      </c>
      <c r="W23">
        <v>38.927543592792304</v>
      </c>
      <c r="X23">
        <v>53.392925187392507</v>
      </c>
      <c r="Y23">
        <v>62.049030972109826</v>
      </c>
      <c r="Z23">
        <v>67.574138078648204</v>
      </c>
      <c r="AA23">
        <v>71.342111525880469</v>
      </c>
      <c r="AB23">
        <v>74.054604099077153</v>
      </c>
      <c r="AC23">
        <v>76.092222190145307</v>
      </c>
      <c r="AD23">
        <v>77.675272565862628</v>
      </c>
      <c r="AF23">
        <v>105.94539590092285</v>
      </c>
      <c r="AG23">
        <v>95.440332031005511</v>
      </c>
      <c r="AH23">
        <v>93.270487923183552</v>
      </c>
      <c r="AI23">
        <v>92.337305859123816</v>
      </c>
      <c r="AJ23">
        <v>91.818302964451831</v>
      </c>
      <c r="AK23">
        <v>91.487867528827778</v>
      </c>
      <c r="AL23">
        <v>91.259045207175262</v>
      </c>
      <c r="AM23">
        <v>91.091216225262585</v>
      </c>
      <c r="AN23">
        <v>90.962863625636217</v>
      </c>
      <c r="AP23">
        <v>78.938817538408202</v>
      </c>
      <c r="AQ23">
        <v>77.675272565862628</v>
      </c>
      <c r="AR23">
        <v>76.092222190145307</v>
      </c>
      <c r="AS23">
        <v>74.054604099077153</v>
      </c>
      <c r="AT23">
        <v>71.342111525880469</v>
      </c>
      <c r="AU23">
        <v>67.574138078648204</v>
      </c>
      <c r="AV23">
        <v>62.049030972109826</v>
      </c>
      <c r="AW23">
        <v>53.392925187392507</v>
      </c>
      <c r="AX23">
        <v>38.927543592792304</v>
      </c>
      <c r="AZ23">
        <v>90.861525734567252</v>
      </c>
      <c r="BA23">
        <v>90.962863625636217</v>
      </c>
      <c r="BB23">
        <v>91.091216225262585</v>
      </c>
      <c r="BC23">
        <v>91.259045207175262</v>
      </c>
      <c r="BD23">
        <v>91.487867528827778</v>
      </c>
      <c r="BE23">
        <v>91.818302964451831</v>
      </c>
      <c r="BF23">
        <v>92.337305859123816</v>
      </c>
      <c r="BG23">
        <v>93.270487923183552</v>
      </c>
      <c r="BH23">
        <v>95.440332031005511</v>
      </c>
      <c r="BJ23">
        <v>84.559667968994489</v>
      </c>
      <c r="BK23">
        <v>84.267504807178383</v>
      </c>
      <c r="BL23">
        <v>83.942304205479005</v>
      </c>
      <c r="BM23">
        <v>83.578151616482472</v>
      </c>
      <c r="BN23">
        <v>83.167638322583016</v>
      </c>
      <c r="BO23">
        <v>82.701360608259719</v>
      </c>
      <c r="BP23">
        <v>82.167204433765363</v>
      </c>
      <c r="BQ23">
        <v>81.549301106397948</v>
      </c>
      <c r="BR23">
        <v>80.826464557718083</v>
      </c>
      <c r="BT23">
        <v>90.419741791335326</v>
      </c>
      <c r="BU23">
        <v>90.442429658039472</v>
      </c>
      <c r="BV23">
        <v>90.467710260038515</v>
      </c>
      <c r="BW23">
        <v>90.496054960395242</v>
      </c>
      <c r="BX23">
        <v>90.52805674890017</v>
      </c>
      <c r="BY23">
        <v>90.56447217530696</v>
      </c>
      <c r="BZ23">
        <v>90.606281915517343</v>
      </c>
      <c r="CA23">
        <v>90.65478040226769</v>
      </c>
      <c r="CB23">
        <v>90.711712206035685</v>
      </c>
      <c r="CD23">
        <v>86.39775556669359</v>
      </c>
      <c r="CE23">
        <v>86.271711495818764</v>
      </c>
      <c r="CF23">
        <v>86.136540779117155</v>
      </c>
      <c r="CG23">
        <v>85.991216594772396</v>
      </c>
      <c r="CH23">
        <v>85.834552368700145</v>
      </c>
      <c r="CI23">
        <v>85.665169512090998</v>
      </c>
      <c r="CJ23">
        <v>85.481457028533526</v>
      </c>
      <c r="CK23">
        <v>85.281520501323513</v>
      </c>
      <c r="CL23">
        <v>85.0631170629905</v>
      </c>
      <c r="CN23">
        <v>90.277459233122514</v>
      </c>
      <c r="CO23">
        <v>90.287194484507168</v>
      </c>
      <c r="CP23">
        <v>90.297637735723498</v>
      </c>
      <c r="CQ23">
        <v>90.308869134751902</v>
      </c>
      <c r="CR23">
        <v>90.320981401193578</v>
      </c>
      <c r="CS23">
        <v>90.334082391748538</v>
      </c>
      <c r="CT23">
        <v>90.348298320658742</v>
      </c>
      <c r="CU23">
        <v>90.363777838864564</v>
      </c>
      <c r="CV23">
        <v>90.380697251426767</v>
      </c>
      <c r="CX23">
        <v>79.969786680267163</v>
      </c>
      <c r="CY23">
        <v>80.826464557718083</v>
      </c>
      <c r="CZ23">
        <v>81.549301106397948</v>
      </c>
      <c r="DA23">
        <v>82.167204433765363</v>
      </c>
      <c r="DB23">
        <v>82.701360608259719</v>
      </c>
      <c r="DC23">
        <v>83.167638322583016</v>
      </c>
      <c r="DD23">
        <v>83.578151616482472</v>
      </c>
      <c r="DE23">
        <v>83.942304205479005</v>
      </c>
      <c r="DF23">
        <v>84.267504807178383</v>
      </c>
      <c r="DH23">
        <v>90.779486321118469</v>
      </c>
      <c r="DI23">
        <v>90.711712206035685</v>
      </c>
      <c r="DJ23">
        <v>90.65478040226769</v>
      </c>
      <c r="DK23">
        <v>90.606281915517343</v>
      </c>
      <c r="DL23">
        <v>90.56447217530696</v>
      </c>
      <c r="DM23">
        <v>90.52805674890017</v>
      </c>
      <c r="DN23">
        <v>90.496054960395242</v>
      </c>
      <c r="DO23">
        <v>90.467710260038515</v>
      </c>
      <c r="DP23">
        <v>90.442429658039472</v>
      </c>
      <c r="DR23">
        <v>15.068488159492208</v>
      </c>
      <c r="DS23">
        <v>38.927543592792304</v>
      </c>
      <c r="DT23">
        <v>53.392925187392507</v>
      </c>
      <c r="DU23">
        <v>62.049030972109826</v>
      </c>
      <c r="DV23">
        <v>67.574138078648204</v>
      </c>
      <c r="DW23">
        <v>71.342111525880469</v>
      </c>
      <c r="DX23">
        <v>74.054604099077153</v>
      </c>
      <c r="DY23">
        <v>76.092222190145307</v>
      </c>
      <c r="DZ23">
        <v>77.675272565862628</v>
      </c>
      <c r="EB23">
        <v>105.94539590092285</v>
      </c>
      <c r="EC23">
        <v>95.440332031005511</v>
      </c>
      <c r="ED23">
        <v>93.270487923183552</v>
      </c>
      <c r="EE23">
        <v>92.337305859123816</v>
      </c>
      <c r="EF23">
        <v>91.818302964451831</v>
      </c>
      <c r="EG23">
        <v>91.487867528827778</v>
      </c>
      <c r="EH23">
        <v>91.259045207175262</v>
      </c>
      <c r="EI23">
        <v>91.091216225262585</v>
      </c>
      <c r="EJ23">
        <v>90.962863625636217</v>
      </c>
      <c r="EL23">
        <v>78.938817538408202</v>
      </c>
      <c r="EM23">
        <v>77.675272565862628</v>
      </c>
      <c r="EN23">
        <v>76.092222190145307</v>
      </c>
      <c r="EO23">
        <v>74.054604099077153</v>
      </c>
      <c r="EP23">
        <v>71.342111525880469</v>
      </c>
      <c r="EQ23">
        <v>67.574138078648204</v>
      </c>
      <c r="ER23">
        <v>62.049030972109826</v>
      </c>
      <c r="ES23">
        <v>53.392925187392507</v>
      </c>
      <c r="ET23">
        <v>38.927543592792304</v>
      </c>
      <c r="EV23">
        <v>90.861525734567252</v>
      </c>
      <c r="EW23">
        <v>90.962863625636217</v>
      </c>
      <c r="EX23">
        <v>91.091216225262585</v>
      </c>
      <c r="EY23">
        <v>91.259045207175262</v>
      </c>
      <c r="EZ23">
        <v>91.487867528827778</v>
      </c>
      <c r="FA23">
        <v>91.818302964451831</v>
      </c>
      <c r="FB23">
        <v>92.337305859123816</v>
      </c>
      <c r="FC23">
        <v>93.270487923183552</v>
      </c>
      <c r="FD23">
        <v>95.440332031005511</v>
      </c>
      <c r="FF23">
        <v>84.559667968994489</v>
      </c>
      <c r="FG23">
        <v>84.267504807178383</v>
      </c>
      <c r="FH23">
        <v>83.942304205479005</v>
      </c>
      <c r="FI23">
        <v>83.578151616482472</v>
      </c>
      <c r="FJ23">
        <v>83.167638322583016</v>
      </c>
      <c r="FK23">
        <v>82.701360608259719</v>
      </c>
      <c r="FL23">
        <v>82.167204433765363</v>
      </c>
      <c r="FM23">
        <v>81.549301106397948</v>
      </c>
      <c r="FN23">
        <v>80.826464557718083</v>
      </c>
      <c r="FP23">
        <v>90.419741791335326</v>
      </c>
      <c r="FQ23">
        <v>90.442429658039472</v>
      </c>
      <c r="FR23">
        <v>90.467710260038515</v>
      </c>
      <c r="FS23">
        <v>90.496054960395242</v>
      </c>
      <c r="FT23">
        <v>90.52805674890017</v>
      </c>
      <c r="FU23">
        <v>90.56447217530696</v>
      </c>
      <c r="FV23">
        <v>90.606281915517343</v>
      </c>
      <c r="FW23">
        <v>90.65478040226769</v>
      </c>
      <c r="FX23">
        <v>90.711712206035685</v>
      </c>
      <c r="FZ23">
        <v>86.39775556669359</v>
      </c>
      <c r="GA23">
        <v>86.271711495818764</v>
      </c>
      <c r="GB23">
        <v>86.136540779117155</v>
      </c>
      <c r="GC23">
        <v>85.991216594772396</v>
      </c>
      <c r="GD23">
        <v>85.834552368700145</v>
      </c>
      <c r="GE23">
        <v>85.665169512090998</v>
      </c>
      <c r="GF23">
        <v>85.481457028533526</v>
      </c>
      <c r="GG23">
        <v>85.281520501323513</v>
      </c>
      <c r="GH23">
        <v>85.0631170629905</v>
      </c>
      <c r="GJ23">
        <v>90.277459233122514</v>
      </c>
      <c r="GK23">
        <v>90.287194484507168</v>
      </c>
      <c r="GL23">
        <v>90.297637735723498</v>
      </c>
      <c r="GM23">
        <v>90.308869134751902</v>
      </c>
      <c r="GN23">
        <v>90.320981401193578</v>
      </c>
      <c r="GO23">
        <v>90.334082391748538</v>
      </c>
      <c r="GP23">
        <v>90.348298320658742</v>
      </c>
      <c r="GQ23">
        <v>90.363777838864564</v>
      </c>
      <c r="GR23">
        <v>90.380697251426767</v>
      </c>
      <c r="GS23">
        <v>90.399267261846731</v>
      </c>
    </row>
    <row r="24" spans="2:201">
      <c r="B24">
        <v>76.976920329395014</v>
      </c>
      <c r="C24">
        <v>78.075476062388091</v>
      </c>
      <c r="D24">
        <v>79.005222650707879</v>
      </c>
      <c r="E24">
        <v>79.801899154376599</v>
      </c>
      <c r="F24">
        <v>80.491914399539084</v>
      </c>
      <c r="G24">
        <v>81.095179009677949</v>
      </c>
      <c r="H24">
        <v>81.626973325217605</v>
      </c>
      <c r="I24">
        <v>82.099210576160203</v>
      </c>
      <c r="J24">
        <v>82.52131049185175</v>
      </c>
      <c r="L24">
        <v>93.891676294080753</v>
      </c>
      <c r="M24">
        <v>93.554178235532092</v>
      </c>
      <c r="N24">
        <v>93.270487923183552</v>
      </c>
      <c r="O24">
        <v>93.028698578340581</v>
      </c>
      <c r="P24">
        <v>92.820172472448476</v>
      </c>
      <c r="Q24">
        <v>92.638491825411208</v>
      </c>
      <c r="R24">
        <v>92.478789108578326</v>
      </c>
      <c r="S24">
        <v>92.337305859123816</v>
      </c>
      <c r="T24">
        <v>92.211093977171075</v>
      </c>
      <c r="V24">
        <v>11.633633998940436</v>
      </c>
      <c r="W24">
        <v>31.701429669505718</v>
      </c>
      <c r="X24">
        <v>45.830315486258016</v>
      </c>
      <c r="Y24">
        <v>55.244087446458629</v>
      </c>
      <c r="Z24">
        <v>61.645038214675942</v>
      </c>
      <c r="AA24">
        <v>66.17573941710458</v>
      </c>
      <c r="AB24">
        <v>69.512985806669306</v>
      </c>
      <c r="AC24">
        <v>72.057552910841338</v>
      </c>
      <c r="AD24">
        <v>74.054604099077153</v>
      </c>
      <c r="AF24">
        <v>145.00797980144134</v>
      </c>
      <c r="AG24">
        <v>115.46334506187161</v>
      </c>
      <c r="AH24">
        <v>105.94539590092285</v>
      </c>
      <c r="AI24">
        <v>101.53462065364472</v>
      </c>
      <c r="AJ24">
        <v>99.019322431381681</v>
      </c>
      <c r="AK24">
        <v>97.3995946598871</v>
      </c>
      <c r="AL24">
        <v>96.271077449501135</v>
      </c>
      <c r="AM24">
        <v>95.440332031005511</v>
      </c>
      <c r="AN24">
        <v>94.803485759069076</v>
      </c>
      <c r="AP24">
        <v>75.660071498657757</v>
      </c>
      <c r="AQ24">
        <v>74.054604099077153</v>
      </c>
      <c r="AR24">
        <v>72.057552910841338</v>
      </c>
      <c r="AS24">
        <v>69.512985806669306</v>
      </c>
      <c r="AT24">
        <v>66.17573941710458</v>
      </c>
      <c r="AU24">
        <v>61.645038214675942</v>
      </c>
      <c r="AV24">
        <v>55.244087446458629</v>
      </c>
      <c r="AW24">
        <v>45.830315486258016</v>
      </c>
      <c r="AX24">
        <v>31.701429669505718</v>
      </c>
      <c r="AZ24">
        <v>94.299862820192061</v>
      </c>
      <c r="BA24">
        <v>94.803485759069076</v>
      </c>
      <c r="BB24">
        <v>95.440332031005511</v>
      </c>
      <c r="BC24">
        <v>96.271077449501135</v>
      </c>
      <c r="BD24">
        <v>97.3995946598871</v>
      </c>
      <c r="BE24">
        <v>99.019322431381681</v>
      </c>
      <c r="BF24">
        <v>101.53462065364472</v>
      </c>
      <c r="BG24">
        <v>105.94539590092285</v>
      </c>
      <c r="BH24">
        <v>115.46334506187161</v>
      </c>
      <c r="BJ24">
        <v>82.900815831274443</v>
      </c>
      <c r="BK24">
        <v>82.52131049185175</v>
      </c>
      <c r="BL24">
        <v>82.099210576160203</v>
      </c>
      <c r="BM24">
        <v>81.626973325217605</v>
      </c>
      <c r="BN24">
        <v>81.095179009677949</v>
      </c>
      <c r="BO24">
        <v>80.491914399539084</v>
      </c>
      <c r="BP24">
        <v>79.801899154376599</v>
      </c>
      <c r="BQ24">
        <v>79.005222650707879</v>
      </c>
      <c r="BR24">
        <v>78.075476062388091</v>
      </c>
      <c r="BT24">
        <v>92.097808586192144</v>
      </c>
      <c r="BU24">
        <v>92.211093977171075</v>
      </c>
      <c r="BV24">
        <v>92.337305859123816</v>
      </c>
      <c r="BW24">
        <v>92.478789108578326</v>
      </c>
      <c r="BX24">
        <v>92.638491825411208</v>
      </c>
      <c r="BY24">
        <v>92.820172472448476</v>
      </c>
      <c r="BZ24">
        <v>93.028698578340581</v>
      </c>
      <c r="CA24">
        <v>93.270487923183552</v>
      </c>
      <c r="CB24">
        <v>93.554178235532092</v>
      </c>
      <c r="CD24">
        <v>85.2937688907747</v>
      </c>
      <c r="CE24">
        <v>85.129418985999436</v>
      </c>
      <c r="CF24">
        <v>84.953205709224832</v>
      </c>
      <c r="CG24">
        <v>84.763800178999929</v>
      </c>
      <c r="CH24">
        <v>84.559667968994489</v>
      </c>
      <c r="CI24">
        <v>84.339027906254657</v>
      </c>
      <c r="CJ24">
        <v>84.099800582725166</v>
      </c>
      <c r="CK24">
        <v>83.839543466409395</v>
      </c>
      <c r="CL24">
        <v>83.55536837794223</v>
      </c>
      <c r="CN24">
        <v>91.38703599178065</v>
      </c>
      <c r="CO24">
        <v>91.435683897341747</v>
      </c>
      <c r="CP24">
        <v>91.487867528827778</v>
      </c>
      <c r="CQ24">
        <v>91.543986789797515</v>
      </c>
      <c r="CR24">
        <v>91.604504237562352</v>
      </c>
      <c r="CS24">
        <v>91.669957849874166</v>
      </c>
      <c r="CT24">
        <v>91.740977044928329</v>
      </c>
      <c r="CU24">
        <v>91.818302964451831</v>
      </c>
      <c r="CV24">
        <v>91.902814404315023</v>
      </c>
      <c r="CX24">
        <v>76.976920329395014</v>
      </c>
      <c r="CY24">
        <v>78.075476062388091</v>
      </c>
      <c r="CZ24">
        <v>79.005222650707879</v>
      </c>
      <c r="DA24">
        <v>79.801899154376599</v>
      </c>
      <c r="DB24">
        <v>80.491914399539084</v>
      </c>
      <c r="DC24">
        <v>81.095179009677949</v>
      </c>
      <c r="DD24">
        <v>81.626973325217605</v>
      </c>
      <c r="DE24">
        <v>82.099210576160203</v>
      </c>
      <c r="DF24">
        <v>82.52131049185175</v>
      </c>
      <c r="DH24">
        <v>93.891676294080753</v>
      </c>
      <c r="DI24">
        <v>93.554178235532092</v>
      </c>
      <c r="DJ24">
        <v>93.270487923183552</v>
      </c>
      <c r="DK24">
        <v>93.028698578340581</v>
      </c>
      <c r="DL24">
        <v>92.820172472448476</v>
      </c>
      <c r="DM24">
        <v>92.638491825411208</v>
      </c>
      <c r="DN24">
        <v>92.478789108578326</v>
      </c>
      <c r="DO24">
        <v>92.337305859123816</v>
      </c>
      <c r="DP24">
        <v>92.211093977171075</v>
      </c>
      <c r="DR24">
        <v>11.633633998940436</v>
      </c>
      <c r="DS24">
        <v>31.701429669505718</v>
      </c>
      <c r="DT24">
        <v>45.830315486258016</v>
      </c>
      <c r="DU24">
        <v>55.244087446458629</v>
      </c>
      <c r="DV24">
        <v>61.645038214675942</v>
      </c>
      <c r="DW24">
        <v>66.17573941710458</v>
      </c>
      <c r="DX24">
        <v>69.512985806669306</v>
      </c>
      <c r="DY24">
        <v>72.057552910841338</v>
      </c>
      <c r="DZ24">
        <v>74.054604099077153</v>
      </c>
      <c r="EB24">
        <v>145.00797980144134</v>
      </c>
      <c r="EC24">
        <v>115.46334506187161</v>
      </c>
      <c r="ED24">
        <v>105.94539590092285</v>
      </c>
      <c r="EE24">
        <v>101.53462065364472</v>
      </c>
      <c r="EF24">
        <v>99.019322431381681</v>
      </c>
      <c r="EG24">
        <v>97.3995946598871</v>
      </c>
      <c r="EH24">
        <v>96.271077449501135</v>
      </c>
      <c r="EI24">
        <v>95.440332031005511</v>
      </c>
      <c r="EJ24">
        <v>94.803485759069076</v>
      </c>
      <c r="EL24">
        <v>75.660071498657757</v>
      </c>
      <c r="EM24">
        <v>74.054604099077153</v>
      </c>
      <c r="EN24">
        <v>72.057552910841338</v>
      </c>
      <c r="EO24">
        <v>69.512985806669306</v>
      </c>
      <c r="EP24">
        <v>66.17573941710458</v>
      </c>
      <c r="EQ24">
        <v>61.645038214675942</v>
      </c>
      <c r="ER24">
        <v>55.244087446458629</v>
      </c>
      <c r="ES24">
        <v>45.830315486258016</v>
      </c>
      <c r="ET24">
        <v>31.701429669505718</v>
      </c>
      <c r="EV24">
        <v>94.299862820192061</v>
      </c>
      <c r="EW24">
        <v>94.803485759069076</v>
      </c>
      <c r="EX24">
        <v>95.440332031005511</v>
      </c>
      <c r="EY24">
        <v>96.271077449501135</v>
      </c>
      <c r="EZ24">
        <v>97.3995946598871</v>
      </c>
      <c r="FA24">
        <v>99.019322431381681</v>
      </c>
      <c r="FB24">
        <v>101.53462065364472</v>
      </c>
      <c r="FC24">
        <v>105.94539590092285</v>
      </c>
      <c r="FD24">
        <v>115.46334506187161</v>
      </c>
      <c r="FF24">
        <v>82.900815831274443</v>
      </c>
      <c r="FG24">
        <v>82.52131049185175</v>
      </c>
      <c r="FH24">
        <v>82.099210576160203</v>
      </c>
      <c r="FI24">
        <v>81.626973325217605</v>
      </c>
      <c r="FJ24">
        <v>81.095179009677949</v>
      </c>
      <c r="FK24">
        <v>80.491914399539084</v>
      </c>
      <c r="FL24">
        <v>79.801899154376599</v>
      </c>
      <c r="FM24">
        <v>79.005222650707879</v>
      </c>
      <c r="FN24">
        <v>78.075476062388091</v>
      </c>
      <c r="FP24">
        <v>92.097808586192144</v>
      </c>
      <c r="FQ24">
        <v>92.211093977171075</v>
      </c>
      <c r="FR24">
        <v>92.337305859123816</v>
      </c>
      <c r="FS24">
        <v>92.478789108578326</v>
      </c>
      <c r="FT24">
        <v>92.638491825411208</v>
      </c>
      <c r="FU24">
        <v>92.820172472448476</v>
      </c>
      <c r="FV24">
        <v>93.028698578340581</v>
      </c>
      <c r="FW24">
        <v>93.270487923183552</v>
      </c>
      <c r="FX24">
        <v>93.554178235532092</v>
      </c>
      <c r="FZ24">
        <v>85.2937688907747</v>
      </c>
      <c r="GA24">
        <v>85.129418985999436</v>
      </c>
      <c r="GB24">
        <v>84.953205709224832</v>
      </c>
      <c r="GC24">
        <v>84.763800178999929</v>
      </c>
      <c r="GD24">
        <v>84.559667968994489</v>
      </c>
      <c r="GE24">
        <v>84.339027906254657</v>
      </c>
      <c r="GF24">
        <v>84.099800582725166</v>
      </c>
      <c r="GG24">
        <v>83.839543466409395</v>
      </c>
      <c r="GH24">
        <v>83.55536837794223</v>
      </c>
      <c r="GJ24">
        <v>91.38703599178065</v>
      </c>
      <c r="GK24">
        <v>91.435683897341747</v>
      </c>
      <c r="GL24">
        <v>91.487867528827778</v>
      </c>
      <c r="GM24">
        <v>91.543986789797515</v>
      </c>
      <c r="GN24">
        <v>91.604504237562352</v>
      </c>
      <c r="GO24">
        <v>91.669957849874166</v>
      </c>
      <c r="GP24">
        <v>91.740977044928329</v>
      </c>
      <c r="GQ24">
        <v>91.818302964451831</v>
      </c>
      <c r="GR24">
        <v>91.902814404315023</v>
      </c>
      <c r="GS24">
        <v>91.995561315707747</v>
      </c>
    </row>
    <row r="25" spans="2:201">
      <c r="B25">
        <v>74.054604099077153</v>
      </c>
      <c r="C25">
        <v>75.379126011368342</v>
      </c>
      <c r="D25">
        <v>76.504266719204196</v>
      </c>
      <c r="E25">
        <v>77.471192290848492</v>
      </c>
      <c r="F25">
        <v>78.310630824560818</v>
      </c>
      <c r="G25">
        <v>79.045937356601669</v>
      </c>
      <c r="H25">
        <v>79.69515353123397</v>
      </c>
      <c r="I25">
        <v>80.272421448598394</v>
      </c>
      <c r="J25">
        <v>80.788973459183325</v>
      </c>
      <c r="L25">
        <v>96.981057406829791</v>
      </c>
      <c r="M25">
        <v>96.379248167613127</v>
      </c>
      <c r="N25">
        <v>95.872628281066795</v>
      </c>
      <c r="O25">
        <v>95.440332031005511</v>
      </c>
      <c r="P25">
        <v>95.067161725853197</v>
      </c>
      <c r="Q25">
        <v>94.741789754519047</v>
      </c>
      <c r="R25">
        <v>94.45560283332631</v>
      </c>
      <c r="S25">
        <v>94.201936358159628</v>
      </c>
      <c r="T25">
        <v>93.97555367260351</v>
      </c>
      <c r="V25">
        <v>9.4623222080256166</v>
      </c>
      <c r="W25">
        <v>26.56505117707799</v>
      </c>
      <c r="X25">
        <v>39.805571092265197</v>
      </c>
      <c r="Y25">
        <v>49.398705354995535</v>
      </c>
      <c r="Z25">
        <v>56.309932474020215</v>
      </c>
      <c r="AA25">
        <v>61.389540334034791</v>
      </c>
      <c r="AB25">
        <v>65.224859431168085</v>
      </c>
      <c r="AC25">
        <v>68.198590513648185</v>
      </c>
      <c r="AD25">
        <v>70.559965171823805</v>
      </c>
      <c r="AF25">
        <v>158.74949449286675</v>
      </c>
      <c r="AG25">
        <v>130.60129464500446</v>
      </c>
      <c r="AH25">
        <v>117.21611155730747</v>
      </c>
      <c r="AI25">
        <v>110.1706534118504</v>
      </c>
      <c r="AJ25">
        <v>105.94539590092285</v>
      </c>
      <c r="AK25">
        <v>103.1575427400148</v>
      </c>
      <c r="AL25">
        <v>101.18879992825181</v>
      </c>
      <c r="AM25">
        <v>99.727578551401606</v>
      </c>
      <c r="AN25">
        <v>98.601384858714894</v>
      </c>
      <c r="AP25">
        <v>72.474431626277124</v>
      </c>
      <c r="AQ25">
        <v>70.559965171823805</v>
      </c>
      <c r="AR25">
        <v>68.198590513648185</v>
      </c>
      <c r="AS25">
        <v>65.224859431168085</v>
      </c>
      <c r="AT25">
        <v>61.389540334034791</v>
      </c>
      <c r="AU25">
        <v>56.309932474020215</v>
      </c>
      <c r="AV25">
        <v>49.398705354995535</v>
      </c>
      <c r="AW25">
        <v>39.805571092265197</v>
      </c>
      <c r="AX25">
        <v>26.56505117707799</v>
      </c>
      <c r="AZ25">
        <v>97.707485722964975</v>
      </c>
      <c r="BA25">
        <v>98.601384858714894</v>
      </c>
      <c r="BB25">
        <v>99.727578551401606</v>
      </c>
      <c r="BC25">
        <v>101.18879992825181</v>
      </c>
      <c r="BD25">
        <v>103.1575427400148</v>
      </c>
      <c r="BE25">
        <v>105.94539590092285</v>
      </c>
      <c r="BF25">
        <v>110.1706534118504</v>
      </c>
      <c r="BG25">
        <v>117.21611155730747</v>
      </c>
      <c r="BH25">
        <v>130.60129464500446</v>
      </c>
      <c r="BJ25">
        <v>81.253837737444798</v>
      </c>
      <c r="BK25">
        <v>80.788973459183325</v>
      </c>
      <c r="BL25">
        <v>80.272421448598394</v>
      </c>
      <c r="BM25">
        <v>79.69515353123397</v>
      </c>
      <c r="BN25">
        <v>79.045937356601669</v>
      </c>
      <c r="BO25">
        <v>78.310630824560818</v>
      </c>
      <c r="BP25">
        <v>77.471192290848492</v>
      </c>
      <c r="BQ25">
        <v>76.504266719204196</v>
      </c>
      <c r="BR25">
        <v>75.379126011368342</v>
      </c>
      <c r="BT25">
        <v>93.772283609379841</v>
      </c>
      <c r="BU25">
        <v>93.97555367260351</v>
      </c>
      <c r="BV25">
        <v>94.201936358159628</v>
      </c>
      <c r="BW25">
        <v>94.45560283332631</v>
      </c>
      <c r="BX25">
        <v>94.741789754519047</v>
      </c>
      <c r="BY25">
        <v>95.067161725853197</v>
      </c>
      <c r="BZ25">
        <v>95.440332031005511</v>
      </c>
      <c r="CA25">
        <v>95.872628281066795</v>
      </c>
      <c r="CB25">
        <v>96.379248167613127</v>
      </c>
      <c r="CD25">
        <v>84.193273094468424</v>
      </c>
      <c r="CE25">
        <v>83.990994042505477</v>
      </c>
      <c r="CF25">
        <v>83.774170935574233</v>
      </c>
      <c r="CG25">
        <v>83.541183621281348</v>
      </c>
      <c r="CH25">
        <v>83.290163192243071</v>
      </c>
      <c r="CI25">
        <v>83.018942593170209</v>
      </c>
      <c r="CJ25">
        <v>82.724995042110748</v>
      </c>
      <c r="CK25">
        <v>82.405356631408566</v>
      </c>
      <c r="CL25">
        <v>82.056528189409605</v>
      </c>
      <c r="CN25">
        <v>92.495573283384275</v>
      </c>
      <c r="CO25">
        <v>92.583020668635058</v>
      </c>
      <c r="CP25">
        <v>92.676814467086473</v>
      </c>
      <c r="CQ25">
        <v>92.777671007885871</v>
      </c>
      <c r="CR25">
        <v>92.886418543864607</v>
      </c>
      <c r="CS25">
        <v>93.004019978695069</v>
      </c>
      <c r="CT25">
        <v>93.131601360621062</v>
      </c>
      <c r="CU25">
        <v>93.270487923183552</v>
      </c>
      <c r="CV25">
        <v>93.422250109783747</v>
      </c>
      <c r="CX25">
        <v>74.054604099077153</v>
      </c>
      <c r="CY25">
        <v>75.379126011368342</v>
      </c>
      <c r="CZ25">
        <v>76.504266719204196</v>
      </c>
      <c r="DA25">
        <v>77.471192290848492</v>
      </c>
      <c r="DB25">
        <v>78.310630824560818</v>
      </c>
      <c r="DC25">
        <v>79.045937356601669</v>
      </c>
      <c r="DD25">
        <v>79.69515353123397</v>
      </c>
      <c r="DE25">
        <v>80.272421448598394</v>
      </c>
      <c r="DF25">
        <v>80.788973459183325</v>
      </c>
      <c r="DH25">
        <v>96.981057406829791</v>
      </c>
      <c r="DI25">
        <v>96.379248167613127</v>
      </c>
      <c r="DJ25">
        <v>95.872628281066795</v>
      </c>
      <c r="DK25">
        <v>95.440332031005511</v>
      </c>
      <c r="DL25">
        <v>95.067161725853197</v>
      </c>
      <c r="DM25">
        <v>94.741789754519047</v>
      </c>
      <c r="DN25">
        <v>94.45560283332631</v>
      </c>
      <c r="DO25">
        <v>94.201936358159628</v>
      </c>
      <c r="DP25">
        <v>93.97555367260351</v>
      </c>
      <c r="DR25">
        <v>9.4623222080256166</v>
      </c>
      <c r="DS25">
        <v>26.56505117707799</v>
      </c>
      <c r="DT25">
        <v>39.805571092265197</v>
      </c>
      <c r="DU25">
        <v>49.398705354995535</v>
      </c>
      <c r="DV25">
        <v>56.309932474020215</v>
      </c>
      <c r="DW25">
        <v>61.389540334034791</v>
      </c>
      <c r="DX25">
        <v>65.224859431168085</v>
      </c>
      <c r="DY25">
        <v>68.198590513648185</v>
      </c>
      <c r="DZ25">
        <v>70.559965171823805</v>
      </c>
      <c r="EB25">
        <v>158.74949449286675</v>
      </c>
      <c r="EC25">
        <v>130.60129464500446</v>
      </c>
      <c r="ED25">
        <v>117.21611155730747</v>
      </c>
      <c r="EE25">
        <v>110.1706534118504</v>
      </c>
      <c r="EF25">
        <v>105.94539590092285</v>
      </c>
      <c r="EG25">
        <v>103.1575427400148</v>
      </c>
      <c r="EH25">
        <v>101.18879992825181</v>
      </c>
      <c r="EI25">
        <v>99.727578551401606</v>
      </c>
      <c r="EJ25">
        <v>98.601384858714894</v>
      </c>
      <c r="EL25">
        <v>72.474431626277124</v>
      </c>
      <c r="EM25">
        <v>70.559965171823805</v>
      </c>
      <c r="EN25">
        <v>68.198590513648185</v>
      </c>
      <c r="EO25">
        <v>65.224859431168085</v>
      </c>
      <c r="EP25">
        <v>61.389540334034791</v>
      </c>
      <c r="EQ25">
        <v>56.309932474020215</v>
      </c>
      <c r="ER25">
        <v>49.398705354995535</v>
      </c>
      <c r="ES25">
        <v>39.805571092265197</v>
      </c>
      <c r="ET25">
        <v>26.56505117707799</v>
      </c>
      <c r="EV25">
        <v>97.707485722964975</v>
      </c>
      <c r="EW25">
        <v>98.601384858714894</v>
      </c>
      <c r="EX25">
        <v>99.727578551401606</v>
      </c>
      <c r="EY25">
        <v>101.18879992825181</v>
      </c>
      <c r="EZ25">
        <v>103.1575427400148</v>
      </c>
      <c r="FA25">
        <v>105.94539590092285</v>
      </c>
      <c r="FB25">
        <v>110.1706534118504</v>
      </c>
      <c r="FC25">
        <v>117.21611155730747</v>
      </c>
      <c r="FD25">
        <v>130.60129464500446</v>
      </c>
      <c r="FF25">
        <v>81.253837737444798</v>
      </c>
      <c r="FG25">
        <v>80.788973459183325</v>
      </c>
      <c r="FH25">
        <v>80.272421448598394</v>
      </c>
      <c r="FI25">
        <v>79.69515353123397</v>
      </c>
      <c r="FJ25">
        <v>79.045937356601669</v>
      </c>
      <c r="FK25">
        <v>78.310630824560818</v>
      </c>
      <c r="FL25">
        <v>77.471192290848492</v>
      </c>
      <c r="FM25">
        <v>76.504266719204196</v>
      </c>
      <c r="FN25">
        <v>75.379126011368342</v>
      </c>
      <c r="FP25">
        <v>93.772283609379841</v>
      </c>
      <c r="FQ25">
        <v>93.97555367260351</v>
      </c>
      <c r="FR25">
        <v>94.201936358159628</v>
      </c>
      <c r="FS25">
        <v>94.45560283332631</v>
      </c>
      <c r="FT25">
        <v>94.741789754519047</v>
      </c>
      <c r="FU25">
        <v>95.067161725853197</v>
      </c>
      <c r="FV25">
        <v>95.440332031005511</v>
      </c>
      <c r="FW25">
        <v>95.872628281066795</v>
      </c>
      <c r="FX25">
        <v>96.379248167613127</v>
      </c>
      <c r="FZ25">
        <v>84.193273094468424</v>
      </c>
      <c r="GA25">
        <v>83.990994042505477</v>
      </c>
      <c r="GB25">
        <v>83.774170935574233</v>
      </c>
      <c r="GC25">
        <v>83.541183621281348</v>
      </c>
      <c r="GD25">
        <v>83.290163192243071</v>
      </c>
      <c r="GE25">
        <v>83.018942593170209</v>
      </c>
      <c r="GF25">
        <v>82.724995042110748</v>
      </c>
      <c r="GG25">
        <v>82.405356631408566</v>
      </c>
      <c r="GH25">
        <v>82.056528189409605</v>
      </c>
      <c r="GJ25">
        <v>92.495573283384275</v>
      </c>
      <c r="GK25">
        <v>92.583020668635058</v>
      </c>
      <c r="GL25">
        <v>92.676814467086473</v>
      </c>
      <c r="GM25">
        <v>92.777671007885871</v>
      </c>
      <c r="GN25">
        <v>92.886418543864607</v>
      </c>
      <c r="GO25">
        <v>93.004019978695069</v>
      </c>
      <c r="GP25">
        <v>93.131601360621062</v>
      </c>
      <c r="GQ25">
        <v>93.270487923183552</v>
      </c>
      <c r="GR25">
        <v>93.422250109783747</v>
      </c>
      <c r="GS25">
        <v>93.58876296038008</v>
      </c>
    </row>
    <row r="27" spans="2:201">
      <c r="B27">
        <v>74.88553680749375</v>
      </c>
      <c r="C27">
        <v>76.130567596785468</v>
      </c>
      <c r="D27">
        <v>77.190334097219477</v>
      </c>
      <c r="E27">
        <v>78.102533441199725</v>
      </c>
      <c r="F27">
        <v>78.895472849923692</v>
      </c>
      <c r="G27">
        <v>79.590768574511273</v>
      </c>
      <c r="H27">
        <v>80.205181946942872</v>
      </c>
      <c r="I27">
        <v>80.751891735891988</v>
      </c>
      <c r="J27">
        <v>81.241391614118371</v>
      </c>
      <c r="L27">
        <v>75.337848302174336</v>
      </c>
      <c r="M27">
        <v>76.482500707367294</v>
      </c>
      <c r="N27">
        <v>77.469132130509294</v>
      </c>
      <c r="O27">
        <v>78.326901515001893</v>
      </c>
      <c r="P27">
        <v>79.078561778814617</v>
      </c>
      <c r="Q27">
        <v>79.74202267838271</v>
      </c>
      <c r="R27">
        <v>80.331514322868145</v>
      </c>
      <c r="S27">
        <v>80.858450312902136</v>
      </c>
      <c r="T27">
        <v>81.332069782892376</v>
      </c>
      <c r="V27">
        <v>25.772653472692422</v>
      </c>
      <c r="W27">
        <v>34.662533883144853</v>
      </c>
      <c r="X27">
        <v>44.536009445364563</v>
      </c>
      <c r="Y27">
        <v>52.538460979868461</v>
      </c>
      <c r="Z27">
        <v>58.596293873515215</v>
      </c>
      <c r="AA27">
        <v>63.167750138058103</v>
      </c>
      <c r="AB27">
        <v>66.674016222475174</v>
      </c>
      <c r="AC27">
        <v>69.420091081261575</v>
      </c>
      <c r="AD27">
        <v>71.615573157720036</v>
      </c>
      <c r="AF27">
        <v>46.789032669782969</v>
      </c>
      <c r="AG27">
        <v>49.574466841299973</v>
      </c>
      <c r="AH27">
        <v>53.809330425403736</v>
      </c>
      <c r="AI27">
        <v>58.20931111603339</v>
      </c>
      <c r="AJ27">
        <v>62.153137800613962</v>
      </c>
      <c r="AK27">
        <v>65.4846592814351</v>
      </c>
      <c r="AL27">
        <v>68.242908363853886</v>
      </c>
      <c r="AM27">
        <v>70.521037651693504</v>
      </c>
      <c r="AN27">
        <v>72.41286662826262</v>
      </c>
      <c r="AP27">
        <v>73.40411254987491</v>
      </c>
      <c r="AQ27">
        <v>71.615573157720036</v>
      </c>
      <c r="AR27">
        <v>69.420091081261575</v>
      </c>
      <c r="AS27">
        <v>66.674016222475174</v>
      </c>
      <c r="AT27">
        <v>63.167750138058103</v>
      </c>
      <c r="AU27">
        <v>58.596293873515215</v>
      </c>
      <c r="AV27">
        <v>52.538460979868461</v>
      </c>
      <c r="AW27">
        <v>44.536009445364563</v>
      </c>
      <c r="AX27">
        <v>34.662533883144853</v>
      </c>
      <c r="AZ27">
        <v>73.99754384840837</v>
      </c>
      <c r="BA27">
        <v>72.41286662826262</v>
      </c>
      <c r="BB27">
        <v>70.521037651693504</v>
      </c>
      <c r="BC27">
        <v>68.242908363853886</v>
      </c>
      <c r="BD27">
        <v>65.4846592814351</v>
      </c>
      <c r="BE27">
        <v>62.153137800613962</v>
      </c>
      <c r="BF27">
        <v>58.20931111603339</v>
      </c>
      <c r="BG27">
        <v>53.809330425403736</v>
      </c>
      <c r="BH27">
        <v>49.574466841299973</v>
      </c>
      <c r="BJ27">
        <v>81.682133819864788</v>
      </c>
      <c r="BK27">
        <v>81.241391614118371</v>
      </c>
      <c r="BL27">
        <v>80.751891735891988</v>
      </c>
      <c r="BM27">
        <v>80.205181946942872</v>
      </c>
      <c r="BN27">
        <v>79.590768574511273</v>
      </c>
      <c r="BO27">
        <v>78.895472849923692</v>
      </c>
      <c r="BP27">
        <v>78.102533441199725</v>
      </c>
      <c r="BQ27">
        <v>77.190334097219477</v>
      </c>
      <c r="BR27">
        <v>76.130567596785468</v>
      </c>
      <c r="BT27">
        <v>81.759917837050097</v>
      </c>
      <c r="BU27">
        <v>81.332069782892376</v>
      </c>
      <c r="BV27">
        <v>80.858450312902136</v>
      </c>
      <c r="BW27">
        <v>80.331514322868145</v>
      </c>
      <c r="BX27">
        <v>79.74202267838271</v>
      </c>
      <c r="BY27">
        <v>79.078561778814617</v>
      </c>
      <c r="BZ27">
        <v>78.326901515001893</v>
      </c>
      <c r="CA27">
        <v>77.469132130509294</v>
      </c>
      <c r="CB27">
        <v>76.482500707367294</v>
      </c>
      <c r="CD27">
        <v>84.473240307049508</v>
      </c>
      <c r="CE27">
        <v>84.280967555379164</v>
      </c>
      <c r="CF27">
        <v>84.074899159274267</v>
      </c>
      <c r="CG27">
        <v>83.853502914618986</v>
      </c>
      <c r="CH27">
        <v>83.615012307447813</v>
      </c>
      <c r="CI27">
        <v>83.357380231544639</v>
      </c>
      <c r="CJ27">
        <v>83.078221363532322</v>
      </c>
      <c r="CK27">
        <v>82.774739840991515</v>
      </c>
      <c r="CL27">
        <v>82.443637716154555</v>
      </c>
      <c r="CN27">
        <v>84.496236940561161</v>
      </c>
      <c r="CO27">
        <v>84.306437558450696</v>
      </c>
      <c r="CP27">
        <v>84.103208941148267</v>
      </c>
      <c r="CQ27">
        <v>83.88508903916852</v>
      </c>
      <c r="CR27">
        <v>83.650398174418029</v>
      </c>
      <c r="CS27">
        <v>83.397197551299712</v>
      </c>
      <c r="CT27">
        <v>83.123238057546075</v>
      </c>
      <c r="CU27">
        <v>82.825896649225754</v>
      </c>
      <c r="CV27">
        <v>82.502096739117945</v>
      </c>
      <c r="CX27">
        <v>74.88553680749375</v>
      </c>
      <c r="CY27">
        <v>76.130567596785468</v>
      </c>
      <c r="CZ27">
        <v>77.190334097219477</v>
      </c>
      <c r="DA27">
        <v>78.102533441199725</v>
      </c>
      <c r="DB27">
        <v>78.895472849923692</v>
      </c>
      <c r="DC27">
        <v>79.590768574511273</v>
      </c>
      <c r="DD27">
        <v>80.205181946942872</v>
      </c>
      <c r="DE27">
        <v>80.751891735891988</v>
      </c>
      <c r="DF27">
        <v>81.241391614118371</v>
      </c>
      <c r="DH27">
        <v>75.337848302174336</v>
      </c>
      <c r="DI27">
        <v>76.482500707367294</v>
      </c>
      <c r="DJ27">
        <v>77.469132130509294</v>
      </c>
      <c r="DK27">
        <v>78.326901515001893</v>
      </c>
      <c r="DL27">
        <v>79.078561778814617</v>
      </c>
      <c r="DM27">
        <v>79.74202267838271</v>
      </c>
      <c r="DN27">
        <v>80.331514322868145</v>
      </c>
      <c r="DO27">
        <v>80.858450312902136</v>
      </c>
      <c r="DP27">
        <v>81.332069782892376</v>
      </c>
      <c r="DR27">
        <v>25.772653472692422</v>
      </c>
      <c r="DS27">
        <v>34.662533883144853</v>
      </c>
      <c r="DT27">
        <v>44.536009445364563</v>
      </c>
      <c r="DU27">
        <v>52.538460979868461</v>
      </c>
      <c r="DV27">
        <v>58.596293873515215</v>
      </c>
      <c r="DW27">
        <v>63.167750138058103</v>
      </c>
      <c r="DX27">
        <v>66.674016222475174</v>
      </c>
      <c r="DY27">
        <v>69.420091081261575</v>
      </c>
      <c r="DZ27">
        <v>71.615573157720036</v>
      </c>
      <c r="EB27">
        <v>46.789032669782969</v>
      </c>
      <c r="EC27">
        <v>49.574466841299973</v>
      </c>
      <c r="ED27">
        <v>53.809330425403736</v>
      </c>
      <c r="EE27">
        <v>58.20931111603339</v>
      </c>
      <c r="EF27">
        <v>62.153137800613962</v>
      </c>
      <c r="EG27">
        <v>65.4846592814351</v>
      </c>
      <c r="EH27">
        <v>68.242908363853886</v>
      </c>
      <c r="EI27">
        <v>70.521037651693504</v>
      </c>
      <c r="EJ27">
        <v>72.41286662826262</v>
      </c>
      <c r="EL27">
        <v>73.40411254987491</v>
      </c>
      <c r="EM27">
        <v>71.615573157720036</v>
      </c>
      <c r="EN27">
        <v>69.420091081261575</v>
      </c>
      <c r="EO27">
        <v>66.674016222475174</v>
      </c>
      <c r="EP27">
        <v>63.167750138058103</v>
      </c>
      <c r="EQ27">
        <v>58.596293873515215</v>
      </c>
      <c r="ER27">
        <v>52.538460979868461</v>
      </c>
      <c r="ES27">
        <v>44.536009445364563</v>
      </c>
      <c r="ET27">
        <v>34.662533883144853</v>
      </c>
      <c r="EV27">
        <v>73.99754384840837</v>
      </c>
      <c r="EW27">
        <v>72.41286662826262</v>
      </c>
      <c r="EX27">
        <v>70.521037651693504</v>
      </c>
      <c r="EY27">
        <v>68.242908363853886</v>
      </c>
      <c r="EZ27">
        <v>65.4846592814351</v>
      </c>
      <c r="FA27">
        <v>62.153137800613962</v>
      </c>
      <c r="FB27">
        <v>58.20931111603339</v>
      </c>
      <c r="FC27">
        <v>53.809330425403736</v>
      </c>
      <c r="FD27">
        <v>49.574466841299973</v>
      </c>
      <c r="FF27">
        <v>81.682133819864788</v>
      </c>
      <c r="FG27">
        <v>81.241391614118371</v>
      </c>
      <c r="FH27">
        <v>80.751891735891988</v>
      </c>
      <c r="FI27">
        <v>80.205181946942872</v>
      </c>
      <c r="FJ27">
        <v>79.590768574511273</v>
      </c>
      <c r="FK27">
        <v>78.895472849923692</v>
      </c>
      <c r="FL27">
        <v>78.102533441199725</v>
      </c>
      <c r="FM27">
        <v>77.190334097219477</v>
      </c>
      <c r="FN27">
        <v>76.130567596785468</v>
      </c>
      <c r="FP27">
        <v>81.759917837050097</v>
      </c>
      <c r="FQ27">
        <v>81.332069782892376</v>
      </c>
      <c r="FR27">
        <v>80.858450312902136</v>
      </c>
      <c r="FS27">
        <v>80.331514322868145</v>
      </c>
      <c r="FT27">
        <v>79.74202267838271</v>
      </c>
      <c r="FU27">
        <v>79.078561778814617</v>
      </c>
      <c r="FV27">
        <v>78.326901515001893</v>
      </c>
      <c r="FW27">
        <v>77.469132130509294</v>
      </c>
      <c r="FX27">
        <v>76.482500707367294</v>
      </c>
      <c r="FZ27">
        <v>84.473240307049508</v>
      </c>
      <c r="GA27">
        <v>84.280967555379164</v>
      </c>
      <c r="GB27">
        <v>84.074899159274267</v>
      </c>
      <c r="GC27">
        <v>83.853502914618986</v>
      </c>
      <c r="GD27">
        <v>83.615012307447813</v>
      </c>
      <c r="GE27">
        <v>83.357380231544639</v>
      </c>
      <c r="GF27">
        <v>83.078221363532322</v>
      </c>
      <c r="GG27">
        <v>82.774739840991515</v>
      </c>
      <c r="GH27">
        <v>82.443637716154555</v>
      </c>
      <c r="GJ27">
        <v>84.496236940561161</v>
      </c>
      <c r="GK27">
        <v>84.306437558450696</v>
      </c>
      <c r="GL27">
        <v>84.103208941148267</v>
      </c>
      <c r="GM27">
        <v>83.88508903916852</v>
      </c>
      <c r="GN27">
        <v>83.650398174418029</v>
      </c>
      <c r="GO27">
        <v>83.397197551299712</v>
      </c>
      <c r="GP27">
        <v>83.123238057546075</v>
      </c>
      <c r="GQ27">
        <v>82.825896649225754</v>
      </c>
      <c r="GR27">
        <v>82.502096739117945</v>
      </c>
      <c r="GS27">
        <v>82.148207811279988</v>
      </c>
    </row>
    <row r="28" spans="2:201">
      <c r="B28">
        <v>74.811343555889422</v>
      </c>
      <c r="C28">
        <v>76.073312550308358</v>
      </c>
      <c r="D28">
        <v>77.145270354889462</v>
      </c>
      <c r="E28">
        <v>78.066455386009139</v>
      </c>
      <c r="F28">
        <v>78.866156375370721</v>
      </c>
      <c r="G28">
        <v>79.566633469030293</v>
      </c>
      <c r="H28">
        <v>80.185081662424309</v>
      </c>
      <c r="I28">
        <v>80.734978703768505</v>
      </c>
      <c r="J28">
        <v>81.227028740688951</v>
      </c>
      <c r="L28">
        <v>75.15188234629926</v>
      </c>
      <c r="M28">
        <v>76.337206185558401</v>
      </c>
      <c r="N28">
        <v>77.35365619530441</v>
      </c>
      <c r="O28">
        <v>78.233727709218201</v>
      </c>
      <c r="P28">
        <v>79.002369074697143</v>
      </c>
      <c r="Q28">
        <v>79.678968483970976</v>
      </c>
      <c r="R28">
        <v>80.278773125375764</v>
      </c>
      <c r="S28">
        <v>80.813910137322353</v>
      </c>
      <c r="T28">
        <v>81.29412830752581</v>
      </c>
      <c r="V28">
        <v>16.970296539403275</v>
      </c>
      <c r="W28">
        <v>30.177366030617918</v>
      </c>
      <c r="X28">
        <v>42.302624878481225</v>
      </c>
      <c r="Y28">
        <v>51.345780337700916</v>
      </c>
      <c r="Z28">
        <v>57.90940183466796</v>
      </c>
      <c r="AA28">
        <v>62.744544446154045</v>
      </c>
      <c r="AB28">
        <v>66.398029827964606</v>
      </c>
      <c r="AC28">
        <v>69.23145071853078</v>
      </c>
      <c r="AD28">
        <v>71.481526863846696</v>
      </c>
      <c r="AF28">
        <v>40.952351591593704</v>
      </c>
      <c r="AG28">
        <v>44.973117396971325</v>
      </c>
      <c r="AH28">
        <v>50.656886529398676</v>
      </c>
      <c r="AI28">
        <v>56.15086812484487</v>
      </c>
      <c r="AJ28">
        <v>60.805976083228174</v>
      </c>
      <c r="AK28">
        <v>64.58223577572241</v>
      </c>
      <c r="AL28">
        <v>67.62014850489652</v>
      </c>
      <c r="AM28">
        <v>70.078201795535321</v>
      </c>
      <c r="AN28">
        <v>72.089098587328323</v>
      </c>
      <c r="AP28">
        <v>73.305730782725433</v>
      </c>
      <c r="AQ28">
        <v>71.481526863846696</v>
      </c>
      <c r="AR28">
        <v>69.23145071853078</v>
      </c>
      <c r="AS28">
        <v>66.398029827964606</v>
      </c>
      <c r="AT28">
        <v>62.744544446154045</v>
      </c>
      <c r="AU28">
        <v>57.90940183466796</v>
      </c>
      <c r="AV28">
        <v>51.345780337700916</v>
      </c>
      <c r="AW28">
        <v>42.302624878481225</v>
      </c>
      <c r="AX28">
        <v>30.177366030617918</v>
      </c>
      <c r="AZ28">
        <v>73.754856248318845</v>
      </c>
      <c r="BA28">
        <v>72.089098587328323</v>
      </c>
      <c r="BB28">
        <v>70.078201795535321</v>
      </c>
      <c r="BC28">
        <v>67.62014850489652</v>
      </c>
      <c r="BD28">
        <v>64.58223577572241</v>
      </c>
      <c r="BE28">
        <v>60.805976083228174</v>
      </c>
      <c r="BF28">
        <v>56.15086812484487</v>
      </c>
      <c r="BG28">
        <v>50.656886529398676</v>
      </c>
      <c r="BH28">
        <v>44.973117396971325</v>
      </c>
      <c r="BJ28">
        <v>81.669834985790729</v>
      </c>
      <c r="BK28">
        <v>81.227028740688951</v>
      </c>
      <c r="BL28">
        <v>80.734978703768505</v>
      </c>
      <c r="BM28">
        <v>80.185081662424309</v>
      </c>
      <c r="BN28">
        <v>79.566633469030293</v>
      </c>
      <c r="BO28">
        <v>78.866156375370721</v>
      </c>
      <c r="BP28">
        <v>78.066455386009139</v>
      </c>
      <c r="BQ28">
        <v>77.145270354889462</v>
      </c>
      <c r="BR28">
        <v>76.073312550308358</v>
      </c>
      <c r="BT28">
        <v>81.727342800331087</v>
      </c>
      <c r="BU28">
        <v>81.29412830752581</v>
      </c>
      <c r="BV28">
        <v>80.813910137322353</v>
      </c>
      <c r="BW28">
        <v>80.278773125375764</v>
      </c>
      <c r="BX28">
        <v>79.678968483970976</v>
      </c>
      <c r="BY28">
        <v>79.002369074697143</v>
      </c>
      <c r="BZ28">
        <v>78.233727709218201</v>
      </c>
      <c r="CA28">
        <v>77.35365619530441</v>
      </c>
      <c r="CB28">
        <v>76.337206185558401</v>
      </c>
      <c r="CD28">
        <v>84.469637080325882</v>
      </c>
      <c r="CE28">
        <v>84.276974751587105</v>
      </c>
      <c r="CF28">
        <v>84.070458664710429</v>
      </c>
      <c r="CG28">
        <v>83.848545390332717</v>
      </c>
      <c r="CH28">
        <v>83.609454490747083</v>
      </c>
      <c r="CI28">
        <v>83.35112145162536</v>
      </c>
      <c r="CJ28">
        <v>83.071138999272094</v>
      </c>
      <c r="CK28">
        <v>82.766683338712284</v>
      </c>
      <c r="CL28">
        <v>82.434420623156143</v>
      </c>
      <c r="CN28">
        <v>84.486562319838669</v>
      </c>
      <c r="CO28">
        <v>84.29572513367205</v>
      </c>
      <c r="CP28">
        <v>84.091305506258081</v>
      </c>
      <c r="CQ28">
        <v>83.871812185336111</v>
      </c>
      <c r="CR28">
        <v>83.635529385002712</v>
      </c>
      <c r="CS28">
        <v>83.380473326245479</v>
      </c>
      <c r="CT28">
        <v>83.104338401850043</v>
      </c>
      <c r="CU28">
        <v>82.804429998317161</v>
      </c>
      <c r="CV28">
        <v>82.47758001354525</v>
      </c>
      <c r="CX28">
        <v>74.811343555889422</v>
      </c>
      <c r="CY28">
        <v>76.073312550308358</v>
      </c>
      <c r="CZ28">
        <v>77.145270354889462</v>
      </c>
      <c r="DA28">
        <v>78.066455386009139</v>
      </c>
      <c r="DB28">
        <v>78.866156375370721</v>
      </c>
      <c r="DC28">
        <v>79.566633469030293</v>
      </c>
      <c r="DD28">
        <v>80.185081662424309</v>
      </c>
      <c r="DE28">
        <v>80.734978703768505</v>
      </c>
      <c r="DF28">
        <v>81.227028740688951</v>
      </c>
      <c r="DH28">
        <v>75.15188234629926</v>
      </c>
      <c r="DI28">
        <v>76.337206185558401</v>
      </c>
      <c r="DJ28">
        <v>77.35365619530441</v>
      </c>
      <c r="DK28">
        <v>78.233727709218201</v>
      </c>
      <c r="DL28">
        <v>79.002369074697143</v>
      </c>
      <c r="DM28">
        <v>79.678968483970976</v>
      </c>
      <c r="DN28">
        <v>80.278773125375764</v>
      </c>
      <c r="DO28">
        <v>80.813910137322353</v>
      </c>
      <c r="DP28">
        <v>81.29412830752581</v>
      </c>
      <c r="DR28">
        <v>16.970296539403275</v>
      </c>
      <c r="DS28">
        <v>30.177366030617918</v>
      </c>
      <c r="DT28">
        <v>42.302624878481225</v>
      </c>
      <c r="DU28">
        <v>51.345780337700916</v>
      </c>
      <c r="DV28">
        <v>57.90940183466796</v>
      </c>
      <c r="DW28">
        <v>62.744544446154045</v>
      </c>
      <c r="DX28">
        <v>66.398029827964606</v>
      </c>
      <c r="DY28">
        <v>69.23145071853078</v>
      </c>
      <c r="DZ28">
        <v>71.481526863846696</v>
      </c>
      <c r="EB28">
        <v>40.952351591593704</v>
      </c>
      <c r="EC28">
        <v>44.973117396971325</v>
      </c>
      <c r="ED28">
        <v>50.656886529398676</v>
      </c>
      <c r="EE28">
        <v>56.15086812484487</v>
      </c>
      <c r="EF28">
        <v>60.805976083228174</v>
      </c>
      <c r="EG28">
        <v>64.58223577572241</v>
      </c>
      <c r="EH28">
        <v>67.62014850489652</v>
      </c>
      <c r="EI28">
        <v>70.078201795535321</v>
      </c>
      <c r="EJ28">
        <v>72.089098587328323</v>
      </c>
      <c r="EL28">
        <v>73.305730782725433</v>
      </c>
      <c r="EM28">
        <v>71.481526863846696</v>
      </c>
      <c r="EN28">
        <v>69.23145071853078</v>
      </c>
      <c r="EO28">
        <v>66.398029827964606</v>
      </c>
      <c r="EP28">
        <v>62.744544446154045</v>
      </c>
      <c r="EQ28">
        <v>57.90940183466796</v>
      </c>
      <c r="ER28">
        <v>51.345780337700916</v>
      </c>
      <c r="ES28">
        <v>42.302624878481225</v>
      </c>
      <c r="ET28">
        <v>30.177366030617918</v>
      </c>
      <c r="EV28">
        <v>73.754856248318845</v>
      </c>
      <c r="EW28">
        <v>72.089098587328323</v>
      </c>
      <c r="EX28">
        <v>70.078201795535321</v>
      </c>
      <c r="EY28">
        <v>67.62014850489652</v>
      </c>
      <c r="EZ28">
        <v>64.58223577572241</v>
      </c>
      <c r="FA28">
        <v>60.805976083228174</v>
      </c>
      <c r="FB28">
        <v>56.15086812484487</v>
      </c>
      <c r="FC28">
        <v>50.656886529398676</v>
      </c>
      <c r="FD28">
        <v>44.973117396971325</v>
      </c>
      <c r="FF28">
        <v>81.669834985790729</v>
      </c>
      <c r="FG28">
        <v>81.227028740688951</v>
      </c>
      <c r="FH28">
        <v>80.734978703768505</v>
      </c>
      <c r="FI28">
        <v>80.185081662424309</v>
      </c>
      <c r="FJ28">
        <v>79.566633469030293</v>
      </c>
      <c r="FK28">
        <v>78.866156375370721</v>
      </c>
      <c r="FL28">
        <v>78.066455386009139</v>
      </c>
      <c r="FM28">
        <v>77.145270354889462</v>
      </c>
      <c r="FN28">
        <v>76.073312550308358</v>
      </c>
      <c r="FP28">
        <v>81.727342800331087</v>
      </c>
      <c r="FQ28">
        <v>81.29412830752581</v>
      </c>
      <c r="FR28">
        <v>80.813910137322353</v>
      </c>
      <c r="FS28">
        <v>80.278773125375764</v>
      </c>
      <c r="FT28">
        <v>79.678968483970976</v>
      </c>
      <c r="FU28">
        <v>79.002369074697143</v>
      </c>
      <c r="FV28">
        <v>78.233727709218201</v>
      </c>
      <c r="FW28">
        <v>77.35365619530441</v>
      </c>
      <c r="FX28">
        <v>76.337206185558401</v>
      </c>
      <c r="FZ28">
        <v>84.469637080325882</v>
      </c>
      <c r="GA28">
        <v>84.276974751587105</v>
      </c>
      <c r="GB28">
        <v>84.070458664710429</v>
      </c>
      <c r="GC28">
        <v>83.848545390332717</v>
      </c>
      <c r="GD28">
        <v>83.609454490747083</v>
      </c>
      <c r="GE28">
        <v>83.35112145162536</v>
      </c>
      <c r="GF28">
        <v>83.071138999272094</v>
      </c>
      <c r="GG28">
        <v>82.766683338712284</v>
      </c>
      <c r="GH28">
        <v>82.434420623156143</v>
      </c>
      <c r="GJ28">
        <v>84.486562319838669</v>
      </c>
      <c r="GK28">
        <v>84.29572513367205</v>
      </c>
      <c r="GL28">
        <v>84.091305506258081</v>
      </c>
      <c r="GM28">
        <v>83.871812185336111</v>
      </c>
      <c r="GN28">
        <v>83.635529385002712</v>
      </c>
      <c r="GO28">
        <v>83.380473326245479</v>
      </c>
      <c r="GP28">
        <v>83.104338401850043</v>
      </c>
      <c r="GQ28">
        <v>82.804429998317161</v>
      </c>
      <c r="GR28">
        <v>82.47758001354525</v>
      </c>
      <c r="GS28">
        <v>82.120039732734014</v>
      </c>
    </row>
    <row r="29" spans="2:201">
      <c r="B29">
        <v>74.779210099476998</v>
      </c>
      <c r="C29">
        <v>76.048556597877322</v>
      </c>
      <c r="D29">
        <v>77.125811159573161</v>
      </c>
      <c r="E29">
        <v>78.050892552183086</v>
      </c>
      <c r="F29">
        <v>78.853520886884709</v>
      </c>
      <c r="G29">
        <v>79.556238330059685</v>
      </c>
      <c r="H29">
        <v>80.176429288944689</v>
      </c>
      <c r="I29">
        <v>80.727701799386267</v>
      </c>
      <c r="J29">
        <v>81.220851554837992</v>
      </c>
      <c r="L29">
        <v>74.999959773323056</v>
      </c>
      <c r="M29">
        <v>76.219129753593151</v>
      </c>
      <c r="N29">
        <v>77.260200612199412</v>
      </c>
      <c r="O29">
        <v>78.158572149894056</v>
      </c>
      <c r="P29">
        <v>78.941077260335803</v>
      </c>
      <c r="Q29">
        <v>79.628359027754726</v>
      </c>
      <c r="R29">
        <v>80.236520084137325</v>
      </c>
      <c r="S29">
        <v>80.778283213605903</v>
      </c>
      <c r="T29">
        <v>81.2638199955815</v>
      </c>
      <c r="V29">
        <v>10.315082561193284</v>
      </c>
      <c r="W29">
        <v>27.806069555844168</v>
      </c>
      <c r="X29">
        <v>41.23221278344419</v>
      </c>
      <c r="Y29">
        <v>50.797684687577274</v>
      </c>
      <c r="Z29">
        <v>57.600749965522155</v>
      </c>
      <c r="AA29">
        <v>62.556905302780194</v>
      </c>
      <c r="AB29">
        <v>66.276704930931317</v>
      </c>
      <c r="AC29">
        <v>69.148998836084942</v>
      </c>
      <c r="AD29">
        <v>71.423173028283941</v>
      </c>
      <c r="AF29">
        <v>33.946295027753955</v>
      </c>
      <c r="AG29">
        <v>39.880063941863064</v>
      </c>
      <c r="AH29">
        <v>47.466059280396827</v>
      </c>
      <c r="AI29">
        <v>54.204579854833938</v>
      </c>
      <c r="AJ29">
        <v>59.591153351587124</v>
      </c>
      <c r="AK29">
        <v>63.794531170745181</v>
      </c>
      <c r="AL29">
        <v>67.088752611716941</v>
      </c>
      <c r="AM29">
        <v>69.706396146123353</v>
      </c>
      <c r="AN29">
        <v>71.820453567351166</v>
      </c>
      <c r="AP29">
        <v>73.263027853830792</v>
      </c>
      <c r="AQ29">
        <v>71.423173028283941</v>
      </c>
      <c r="AR29">
        <v>69.148998836084942</v>
      </c>
      <c r="AS29">
        <v>66.276704930931317</v>
      </c>
      <c r="AT29">
        <v>62.556905302780194</v>
      </c>
      <c r="AU29">
        <v>57.600749965522155</v>
      </c>
      <c r="AV29">
        <v>50.797684687577274</v>
      </c>
      <c r="AW29">
        <v>41.23221278344419</v>
      </c>
      <c r="AX29">
        <v>27.806069555844168</v>
      </c>
      <c r="AZ29">
        <v>73.555256161392734</v>
      </c>
      <c r="BA29">
        <v>71.820453567351166</v>
      </c>
      <c r="BB29">
        <v>69.706396146123353</v>
      </c>
      <c r="BC29">
        <v>67.088752611716941</v>
      </c>
      <c r="BD29">
        <v>63.794531170745181</v>
      </c>
      <c r="BE29">
        <v>59.591153351587124</v>
      </c>
      <c r="BF29">
        <v>54.204579854833938</v>
      </c>
      <c r="BG29">
        <v>47.466059280396827</v>
      </c>
      <c r="BH29">
        <v>39.880063941863064</v>
      </c>
      <c r="BJ29">
        <v>81.66454732970891</v>
      </c>
      <c r="BK29">
        <v>81.220851554837992</v>
      </c>
      <c r="BL29">
        <v>80.727701799386267</v>
      </c>
      <c r="BM29">
        <v>80.176429288944689</v>
      </c>
      <c r="BN29">
        <v>79.556238330059685</v>
      </c>
      <c r="BO29">
        <v>78.853520886884709</v>
      </c>
      <c r="BP29">
        <v>78.050892552183086</v>
      </c>
      <c r="BQ29">
        <v>77.125811159573161</v>
      </c>
      <c r="BR29">
        <v>76.048556597877322</v>
      </c>
      <c r="BT29">
        <v>81.701350971045926</v>
      </c>
      <c r="BU29">
        <v>81.2638199955815</v>
      </c>
      <c r="BV29">
        <v>80.778283213605903</v>
      </c>
      <c r="BW29">
        <v>80.236520084137325</v>
      </c>
      <c r="BX29">
        <v>79.628359027754726</v>
      </c>
      <c r="BY29">
        <v>78.941077260335803</v>
      </c>
      <c r="BZ29">
        <v>78.158572149894056</v>
      </c>
      <c r="CA29">
        <v>77.260200612199412</v>
      </c>
      <c r="CB29">
        <v>76.219129753593151</v>
      </c>
      <c r="CD29">
        <v>84.468090681418388</v>
      </c>
      <c r="CE29">
        <v>84.275260988007318</v>
      </c>
      <c r="CF29">
        <v>84.068552536967644</v>
      </c>
      <c r="CG29">
        <v>83.846417061784649</v>
      </c>
      <c r="CH29">
        <v>83.607068122304952</v>
      </c>
      <c r="CI29">
        <v>83.348433696212822</v>
      </c>
      <c r="CJ29">
        <v>83.06809703792436</v>
      </c>
      <c r="CK29">
        <v>82.763222292145585</v>
      </c>
      <c r="CL29">
        <v>82.430460101913354</v>
      </c>
      <c r="CN29">
        <v>84.47888831817022</v>
      </c>
      <c r="CO29">
        <v>84.287225111298014</v>
      </c>
      <c r="CP29">
        <v>84.081856967670305</v>
      </c>
      <c r="CQ29">
        <v>83.861269150568532</v>
      </c>
      <c r="CR29">
        <v>83.623716796507381</v>
      </c>
      <c r="CS29">
        <v>83.367179845392414</v>
      </c>
      <c r="CT29">
        <v>83.089307045422316</v>
      </c>
      <c r="CU29">
        <v>82.787345846262937</v>
      </c>
      <c r="CV29">
        <v>82.458053899277147</v>
      </c>
      <c r="CX29">
        <v>74.779210099476998</v>
      </c>
      <c r="CY29">
        <v>76.048556597877322</v>
      </c>
      <c r="CZ29">
        <v>77.125811159573161</v>
      </c>
      <c r="DA29">
        <v>78.050892552183086</v>
      </c>
      <c r="DB29">
        <v>78.853520886884709</v>
      </c>
      <c r="DC29">
        <v>79.556238330059685</v>
      </c>
      <c r="DD29">
        <v>80.176429288944689</v>
      </c>
      <c r="DE29">
        <v>80.727701799386267</v>
      </c>
      <c r="DF29">
        <v>81.220851554837992</v>
      </c>
      <c r="DH29">
        <v>74.999959773323056</v>
      </c>
      <c r="DI29">
        <v>76.219129753593151</v>
      </c>
      <c r="DJ29">
        <v>77.260200612199412</v>
      </c>
      <c r="DK29">
        <v>78.158572149894056</v>
      </c>
      <c r="DL29">
        <v>78.941077260335803</v>
      </c>
      <c r="DM29">
        <v>79.628359027754726</v>
      </c>
      <c r="DN29">
        <v>80.236520084137325</v>
      </c>
      <c r="DO29">
        <v>80.778283213605903</v>
      </c>
      <c r="DP29">
        <v>81.2638199955815</v>
      </c>
      <c r="DR29">
        <v>10.315082561193284</v>
      </c>
      <c r="DS29">
        <v>27.806069555844168</v>
      </c>
      <c r="DT29">
        <v>41.23221278344419</v>
      </c>
      <c r="DU29">
        <v>50.797684687577274</v>
      </c>
      <c r="DV29">
        <v>57.600749965522155</v>
      </c>
      <c r="DW29">
        <v>62.556905302780194</v>
      </c>
      <c r="DX29">
        <v>66.276704930931317</v>
      </c>
      <c r="DY29">
        <v>69.148998836084942</v>
      </c>
      <c r="DZ29">
        <v>71.423173028283941</v>
      </c>
      <c r="EB29">
        <v>33.946295027753955</v>
      </c>
      <c r="EC29">
        <v>39.880063941863064</v>
      </c>
      <c r="ED29">
        <v>47.466059280396827</v>
      </c>
      <c r="EE29">
        <v>54.204579854833938</v>
      </c>
      <c r="EF29">
        <v>59.591153351587124</v>
      </c>
      <c r="EG29">
        <v>63.794531170745181</v>
      </c>
      <c r="EH29">
        <v>67.088752611716941</v>
      </c>
      <c r="EI29">
        <v>69.706396146123353</v>
      </c>
      <c r="EJ29">
        <v>71.820453567351166</v>
      </c>
      <c r="EL29">
        <v>73.263027853830792</v>
      </c>
      <c r="EM29">
        <v>71.423173028283941</v>
      </c>
      <c r="EN29">
        <v>69.148998836084942</v>
      </c>
      <c r="EO29">
        <v>66.276704930931317</v>
      </c>
      <c r="EP29">
        <v>62.556905302780194</v>
      </c>
      <c r="EQ29">
        <v>57.600749965522155</v>
      </c>
      <c r="ER29">
        <v>50.797684687577274</v>
      </c>
      <c r="ES29">
        <v>41.23221278344419</v>
      </c>
      <c r="ET29">
        <v>27.806069555844168</v>
      </c>
      <c r="EV29">
        <v>73.555256161392734</v>
      </c>
      <c r="EW29">
        <v>71.820453567351166</v>
      </c>
      <c r="EX29">
        <v>69.706396146123353</v>
      </c>
      <c r="EY29">
        <v>67.088752611716941</v>
      </c>
      <c r="EZ29">
        <v>63.794531170745181</v>
      </c>
      <c r="FA29">
        <v>59.591153351587124</v>
      </c>
      <c r="FB29">
        <v>54.204579854833938</v>
      </c>
      <c r="FC29">
        <v>47.466059280396827</v>
      </c>
      <c r="FD29">
        <v>39.880063941863064</v>
      </c>
      <c r="FF29">
        <v>81.66454732970891</v>
      </c>
      <c r="FG29">
        <v>81.220851554837992</v>
      </c>
      <c r="FH29">
        <v>80.727701799386267</v>
      </c>
      <c r="FI29">
        <v>80.176429288944689</v>
      </c>
      <c r="FJ29">
        <v>79.556238330059685</v>
      </c>
      <c r="FK29">
        <v>78.853520886884709</v>
      </c>
      <c r="FL29">
        <v>78.050892552183086</v>
      </c>
      <c r="FM29">
        <v>77.125811159573161</v>
      </c>
      <c r="FN29">
        <v>76.048556597877322</v>
      </c>
      <c r="FP29">
        <v>81.701350971045926</v>
      </c>
      <c r="FQ29">
        <v>81.2638199955815</v>
      </c>
      <c r="FR29">
        <v>80.778283213605903</v>
      </c>
      <c r="FS29">
        <v>80.236520084137325</v>
      </c>
      <c r="FT29">
        <v>79.628359027754726</v>
      </c>
      <c r="FU29">
        <v>78.941077260335803</v>
      </c>
      <c r="FV29">
        <v>78.158572149894056</v>
      </c>
      <c r="FW29">
        <v>77.260200612199412</v>
      </c>
      <c r="FX29">
        <v>76.219129753593151</v>
      </c>
      <c r="FZ29">
        <v>84.468090681418388</v>
      </c>
      <c r="GA29">
        <v>84.275260988007318</v>
      </c>
      <c r="GB29">
        <v>84.068552536967644</v>
      </c>
      <c r="GC29">
        <v>83.846417061784649</v>
      </c>
      <c r="GD29">
        <v>83.607068122304952</v>
      </c>
      <c r="GE29">
        <v>83.348433696212822</v>
      </c>
      <c r="GF29">
        <v>83.06809703792436</v>
      </c>
      <c r="GG29">
        <v>82.763222292145585</v>
      </c>
      <c r="GH29">
        <v>82.430460101913354</v>
      </c>
      <c r="GJ29">
        <v>84.47888831817022</v>
      </c>
      <c r="GK29">
        <v>84.287225111298014</v>
      </c>
      <c r="GL29">
        <v>84.081856967670305</v>
      </c>
      <c r="GM29">
        <v>83.861269150568532</v>
      </c>
      <c r="GN29">
        <v>83.623716796507381</v>
      </c>
      <c r="GO29">
        <v>83.367179845392414</v>
      </c>
      <c r="GP29">
        <v>83.089307045422316</v>
      </c>
      <c r="GQ29">
        <v>82.787345846262937</v>
      </c>
      <c r="GR29">
        <v>82.458053899277147</v>
      </c>
      <c r="GS29">
        <v>82.097586353312963</v>
      </c>
    </row>
    <row r="30" spans="2:201">
      <c r="B30">
        <v>74.789943912043057</v>
      </c>
      <c r="C30">
        <v>76.056823249576297</v>
      </c>
      <c r="D30">
        <v>77.132307375941878</v>
      </c>
      <c r="E30">
        <v>78.056086927949337</v>
      </c>
      <c r="F30">
        <v>78.857737495680368</v>
      </c>
      <c r="G30">
        <v>79.559706828312642</v>
      </c>
      <c r="H30">
        <v>80.179315955646828</v>
      </c>
      <c r="I30">
        <v>80.730129339099761</v>
      </c>
      <c r="J30">
        <v>81.222912066450775</v>
      </c>
      <c r="L30">
        <v>74.88553680749375</v>
      </c>
      <c r="M30">
        <v>76.130567596785468</v>
      </c>
      <c r="N30">
        <v>77.190334097219477</v>
      </c>
      <c r="O30">
        <v>78.102533441199725</v>
      </c>
      <c r="P30">
        <v>78.895472849923692</v>
      </c>
      <c r="Q30">
        <v>79.590768574511273</v>
      </c>
      <c r="R30">
        <v>80.205181946942872</v>
      </c>
      <c r="S30">
        <v>80.751891735891988</v>
      </c>
      <c r="T30">
        <v>81.241391614118371</v>
      </c>
      <c r="V30">
        <v>12.979350497927722</v>
      </c>
      <c r="W30">
        <v>28.63490403452203</v>
      </c>
      <c r="X30">
        <v>41.597516791214169</v>
      </c>
      <c r="Y30">
        <v>50.983028334975728</v>
      </c>
      <c r="Z30">
        <v>57.704631742407365</v>
      </c>
      <c r="AA30">
        <v>62.619883852030583</v>
      </c>
      <c r="AB30">
        <v>66.317354799349502</v>
      </c>
      <c r="AC30">
        <v>69.17659199301967</v>
      </c>
      <c r="AD30">
        <v>71.442685620060914</v>
      </c>
      <c r="AF30">
        <v>25.772653472692422</v>
      </c>
      <c r="AG30">
        <v>34.662533883144853</v>
      </c>
      <c r="AH30">
        <v>44.536009445364563</v>
      </c>
      <c r="AI30">
        <v>52.538460979868461</v>
      </c>
      <c r="AJ30">
        <v>58.596293873515215</v>
      </c>
      <c r="AK30">
        <v>63.167750138058103</v>
      </c>
      <c r="AL30">
        <v>66.674016222475174</v>
      </c>
      <c r="AM30">
        <v>69.420091081261575</v>
      </c>
      <c r="AN30">
        <v>71.615573157720036</v>
      </c>
      <c r="AP30">
        <v>73.277298577697493</v>
      </c>
      <c r="AQ30">
        <v>71.442685620060914</v>
      </c>
      <c r="AR30">
        <v>69.17659199301967</v>
      </c>
      <c r="AS30">
        <v>66.317354799349502</v>
      </c>
      <c r="AT30">
        <v>62.619883852030583</v>
      </c>
      <c r="AU30">
        <v>57.704631742407365</v>
      </c>
      <c r="AV30">
        <v>50.983028334975728</v>
      </c>
      <c r="AW30">
        <v>41.597516791214169</v>
      </c>
      <c r="AX30">
        <v>28.63490403452203</v>
      </c>
      <c r="AZ30">
        <v>73.40411254987491</v>
      </c>
      <c r="BA30">
        <v>71.615573157720036</v>
      </c>
      <c r="BB30">
        <v>69.420091081261575</v>
      </c>
      <c r="BC30">
        <v>66.674016222475174</v>
      </c>
      <c r="BD30">
        <v>63.167750138058103</v>
      </c>
      <c r="BE30">
        <v>58.596293873515215</v>
      </c>
      <c r="BF30">
        <v>52.538460979868461</v>
      </c>
      <c r="BG30">
        <v>44.536009445364563</v>
      </c>
      <c r="BH30">
        <v>34.662533883144853</v>
      </c>
      <c r="BJ30">
        <v>81.666311000420905</v>
      </c>
      <c r="BK30">
        <v>81.222912066450775</v>
      </c>
      <c r="BL30">
        <v>80.730129339099761</v>
      </c>
      <c r="BM30">
        <v>80.179315955646828</v>
      </c>
      <c r="BN30">
        <v>79.559706828312642</v>
      </c>
      <c r="BO30">
        <v>78.857737495680368</v>
      </c>
      <c r="BP30">
        <v>78.056086927949337</v>
      </c>
      <c r="BQ30">
        <v>77.132307375941878</v>
      </c>
      <c r="BR30">
        <v>76.056823249576297</v>
      </c>
      <c r="BT30">
        <v>81.682133819864788</v>
      </c>
      <c r="BU30">
        <v>81.241391614118371</v>
      </c>
      <c r="BV30">
        <v>80.751891735891988</v>
      </c>
      <c r="BW30">
        <v>80.205181946942872</v>
      </c>
      <c r="BX30">
        <v>79.590768574511273</v>
      </c>
      <c r="BY30">
        <v>78.895472849923692</v>
      </c>
      <c r="BZ30">
        <v>78.102533441199725</v>
      </c>
      <c r="CA30">
        <v>77.190334097219477</v>
      </c>
      <c r="CB30">
        <v>76.130567596785468</v>
      </c>
      <c r="CD30">
        <v>84.468606291847635</v>
      </c>
      <c r="CE30">
        <v>84.275832413586571</v>
      </c>
      <c r="CF30">
        <v>84.069188117119197</v>
      </c>
      <c r="CG30">
        <v>83.84712675007664</v>
      </c>
      <c r="CH30">
        <v>83.60786387547239</v>
      </c>
      <c r="CI30">
        <v>83.349329976824819</v>
      </c>
      <c r="CJ30">
        <v>83.069111470173709</v>
      </c>
      <c r="CK30">
        <v>82.764376526310059</v>
      </c>
      <c r="CL30">
        <v>82.431780966699961</v>
      </c>
      <c r="CN30">
        <v>84.473240307049508</v>
      </c>
      <c r="CO30">
        <v>84.280967555379164</v>
      </c>
      <c r="CP30">
        <v>84.074899159274267</v>
      </c>
      <c r="CQ30">
        <v>83.853502914618986</v>
      </c>
      <c r="CR30">
        <v>83.615012307447813</v>
      </c>
      <c r="CS30">
        <v>83.357380231544639</v>
      </c>
      <c r="CT30">
        <v>83.078221363532322</v>
      </c>
      <c r="CU30">
        <v>82.774739840991515</v>
      </c>
      <c r="CV30">
        <v>82.443637716154555</v>
      </c>
      <c r="CX30">
        <v>74.789943912043057</v>
      </c>
      <c r="CY30">
        <v>76.056823249576297</v>
      </c>
      <c r="CZ30">
        <v>77.132307375941878</v>
      </c>
      <c r="DA30">
        <v>78.056086927949337</v>
      </c>
      <c r="DB30">
        <v>78.857737495680368</v>
      </c>
      <c r="DC30">
        <v>79.559706828312642</v>
      </c>
      <c r="DD30">
        <v>80.179315955646828</v>
      </c>
      <c r="DE30">
        <v>80.730129339099761</v>
      </c>
      <c r="DF30">
        <v>81.222912066450775</v>
      </c>
      <c r="DH30">
        <v>74.88553680749375</v>
      </c>
      <c r="DI30">
        <v>76.130567596785468</v>
      </c>
      <c r="DJ30">
        <v>77.190334097219477</v>
      </c>
      <c r="DK30">
        <v>78.102533441199725</v>
      </c>
      <c r="DL30">
        <v>78.895472849923692</v>
      </c>
      <c r="DM30">
        <v>79.590768574511273</v>
      </c>
      <c r="DN30">
        <v>80.205181946942872</v>
      </c>
      <c r="DO30">
        <v>80.751891735891988</v>
      </c>
      <c r="DP30">
        <v>81.241391614118371</v>
      </c>
      <c r="DR30">
        <v>12.979350497927722</v>
      </c>
      <c r="DS30">
        <v>28.63490403452203</v>
      </c>
      <c r="DT30">
        <v>41.597516791214169</v>
      </c>
      <c r="DU30">
        <v>50.983028334975728</v>
      </c>
      <c r="DV30">
        <v>57.704631742407365</v>
      </c>
      <c r="DW30">
        <v>62.619883852030583</v>
      </c>
      <c r="DX30">
        <v>66.317354799349502</v>
      </c>
      <c r="DY30">
        <v>69.17659199301967</v>
      </c>
      <c r="DZ30">
        <v>71.442685620060914</v>
      </c>
      <c r="EB30">
        <v>25.772653472692422</v>
      </c>
      <c r="EC30">
        <v>34.662533883144853</v>
      </c>
      <c r="ED30">
        <v>44.536009445364563</v>
      </c>
      <c r="EE30">
        <v>52.538460979868461</v>
      </c>
      <c r="EF30">
        <v>58.596293873515215</v>
      </c>
      <c r="EG30">
        <v>63.167750138058103</v>
      </c>
      <c r="EH30">
        <v>66.674016222475174</v>
      </c>
      <c r="EI30">
        <v>69.420091081261575</v>
      </c>
      <c r="EJ30">
        <v>71.615573157720036</v>
      </c>
      <c r="EL30">
        <v>73.277298577697493</v>
      </c>
      <c r="EM30">
        <v>71.442685620060914</v>
      </c>
      <c r="EN30">
        <v>69.17659199301967</v>
      </c>
      <c r="EO30">
        <v>66.317354799349502</v>
      </c>
      <c r="EP30">
        <v>62.619883852030583</v>
      </c>
      <c r="EQ30">
        <v>57.704631742407365</v>
      </c>
      <c r="ER30">
        <v>50.983028334975728</v>
      </c>
      <c r="ES30">
        <v>41.597516791214169</v>
      </c>
      <c r="ET30">
        <v>28.63490403452203</v>
      </c>
      <c r="EV30">
        <v>73.40411254987491</v>
      </c>
      <c r="EW30">
        <v>71.615573157720036</v>
      </c>
      <c r="EX30">
        <v>69.420091081261575</v>
      </c>
      <c r="EY30">
        <v>66.674016222475174</v>
      </c>
      <c r="EZ30">
        <v>63.167750138058103</v>
      </c>
      <c r="FA30">
        <v>58.596293873515215</v>
      </c>
      <c r="FB30">
        <v>52.538460979868461</v>
      </c>
      <c r="FC30">
        <v>44.536009445364563</v>
      </c>
      <c r="FD30">
        <v>34.662533883144853</v>
      </c>
      <c r="FF30">
        <v>81.666311000420905</v>
      </c>
      <c r="FG30">
        <v>81.222912066450775</v>
      </c>
      <c r="FH30">
        <v>80.730129339099761</v>
      </c>
      <c r="FI30">
        <v>80.179315955646828</v>
      </c>
      <c r="FJ30">
        <v>79.559706828312642</v>
      </c>
      <c r="FK30">
        <v>78.857737495680368</v>
      </c>
      <c r="FL30">
        <v>78.056086927949337</v>
      </c>
      <c r="FM30">
        <v>77.132307375941878</v>
      </c>
      <c r="FN30">
        <v>76.056823249576297</v>
      </c>
      <c r="FP30">
        <v>81.682133819864788</v>
      </c>
      <c r="FQ30">
        <v>81.241391614118371</v>
      </c>
      <c r="FR30">
        <v>80.751891735891988</v>
      </c>
      <c r="FS30">
        <v>80.205181946942872</v>
      </c>
      <c r="FT30">
        <v>79.590768574511273</v>
      </c>
      <c r="FU30">
        <v>78.895472849923692</v>
      </c>
      <c r="FV30">
        <v>78.102533441199725</v>
      </c>
      <c r="FW30">
        <v>77.190334097219477</v>
      </c>
      <c r="FX30">
        <v>76.130567596785468</v>
      </c>
      <c r="FZ30">
        <v>84.468606291847635</v>
      </c>
      <c r="GA30">
        <v>84.275832413586571</v>
      </c>
      <c r="GB30">
        <v>84.069188117119197</v>
      </c>
      <c r="GC30">
        <v>83.84712675007664</v>
      </c>
      <c r="GD30">
        <v>83.60786387547239</v>
      </c>
      <c r="GE30">
        <v>83.349329976824819</v>
      </c>
      <c r="GF30">
        <v>83.069111470173709</v>
      </c>
      <c r="GG30">
        <v>82.764376526310059</v>
      </c>
      <c r="GH30">
        <v>82.431780966699961</v>
      </c>
      <c r="GJ30">
        <v>84.473240307049508</v>
      </c>
      <c r="GK30">
        <v>84.280967555379164</v>
      </c>
      <c r="GL30">
        <v>84.074899159274267</v>
      </c>
      <c r="GM30">
        <v>83.853502914618986</v>
      </c>
      <c r="GN30">
        <v>83.615012307447813</v>
      </c>
      <c r="GO30">
        <v>83.357380231544639</v>
      </c>
      <c r="GP30">
        <v>83.078221363532322</v>
      </c>
      <c r="GQ30">
        <v>82.774739840991515</v>
      </c>
      <c r="GR30">
        <v>82.443637716154555</v>
      </c>
      <c r="GS30">
        <v>82.080998007385901</v>
      </c>
    </row>
    <row r="31" spans="2:201">
      <c r="B31">
        <v>74.88553680749375</v>
      </c>
      <c r="C31">
        <v>76.130567596785468</v>
      </c>
      <c r="D31">
        <v>77.190334097219477</v>
      </c>
      <c r="E31">
        <v>78.102533441199725</v>
      </c>
      <c r="F31">
        <v>78.895472849923692</v>
      </c>
      <c r="G31">
        <v>79.590768574511273</v>
      </c>
      <c r="H31">
        <v>80.205181946942872</v>
      </c>
      <c r="I31">
        <v>80.751891735891988</v>
      </c>
      <c r="J31">
        <v>81.241391614118371</v>
      </c>
      <c r="L31">
        <v>74.789943912043057</v>
      </c>
      <c r="M31">
        <v>76.056823249576297</v>
      </c>
      <c r="N31">
        <v>77.132307375941878</v>
      </c>
      <c r="O31">
        <v>78.056086927949337</v>
      </c>
      <c r="P31">
        <v>78.857737495680368</v>
      </c>
      <c r="Q31">
        <v>79.559706828312642</v>
      </c>
      <c r="R31">
        <v>80.179315955646828</v>
      </c>
      <c r="S31">
        <v>80.730129339099761</v>
      </c>
      <c r="T31">
        <v>81.222912066450775</v>
      </c>
      <c r="V31">
        <v>25.772653472692422</v>
      </c>
      <c r="W31">
        <v>34.662533883144853</v>
      </c>
      <c r="X31">
        <v>44.536009445364563</v>
      </c>
      <c r="Y31">
        <v>52.538460979868461</v>
      </c>
      <c r="Z31">
        <v>58.596293873515215</v>
      </c>
      <c r="AA31">
        <v>63.167750138058103</v>
      </c>
      <c r="AB31">
        <v>66.674016222475174</v>
      </c>
      <c r="AC31">
        <v>69.420091081261575</v>
      </c>
      <c r="AD31">
        <v>71.615573157720036</v>
      </c>
      <c r="AF31">
        <v>12.979350497927722</v>
      </c>
      <c r="AG31">
        <v>28.63490403452203</v>
      </c>
      <c r="AH31">
        <v>41.597516791214169</v>
      </c>
      <c r="AI31">
        <v>50.983028334975728</v>
      </c>
      <c r="AJ31">
        <v>57.704631742407365</v>
      </c>
      <c r="AK31">
        <v>62.619883852030583</v>
      </c>
      <c r="AL31">
        <v>66.317354799349502</v>
      </c>
      <c r="AM31">
        <v>69.17659199301967</v>
      </c>
      <c r="AN31">
        <v>71.442685620060914</v>
      </c>
      <c r="AP31">
        <v>73.40411254987491</v>
      </c>
      <c r="AQ31">
        <v>71.615573157720036</v>
      </c>
      <c r="AR31">
        <v>69.420091081261575</v>
      </c>
      <c r="AS31">
        <v>66.674016222475174</v>
      </c>
      <c r="AT31">
        <v>63.167750138058103</v>
      </c>
      <c r="AU31">
        <v>58.596293873515215</v>
      </c>
      <c r="AV31">
        <v>52.538460979868461</v>
      </c>
      <c r="AW31">
        <v>44.536009445364563</v>
      </c>
      <c r="AX31">
        <v>34.662533883144853</v>
      </c>
      <c r="AZ31">
        <v>73.277298577697493</v>
      </c>
      <c r="BA31">
        <v>71.442685620060914</v>
      </c>
      <c r="BB31">
        <v>69.17659199301967</v>
      </c>
      <c r="BC31">
        <v>66.317354799349502</v>
      </c>
      <c r="BD31">
        <v>62.619883852030583</v>
      </c>
      <c r="BE31">
        <v>57.704631742407365</v>
      </c>
      <c r="BF31">
        <v>50.983028334975728</v>
      </c>
      <c r="BG31">
        <v>41.597516791214169</v>
      </c>
      <c r="BH31">
        <v>28.63490403452203</v>
      </c>
      <c r="BJ31">
        <v>81.682133819864788</v>
      </c>
      <c r="BK31">
        <v>81.241391614118371</v>
      </c>
      <c r="BL31">
        <v>80.751891735891988</v>
      </c>
      <c r="BM31">
        <v>80.205181946942872</v>
      </c>
      <c r="BN31">
        <v>79.590768574511273</v>
      </c>
      <c r="BO31">
        <v>78.895472849923692</v>
      </c>
      <c r="BP31">
        <v>78.102533441199725</v>
      </c>
      <c r="BQ31">
        <v>77.190334097219477</v>
      </c>
      <c r="BR31">
        <v>76.130567596785468</v>
      </c>
      <c r="BT31">
        <v>81.666311000420905</v>
      </c>
      <c r="BU31">
        <v>81.222912066450775</v>
      </c>
      <c r="BV31">
        <v>80.730129339099761</v>
      </c>
      <c r="BW31">
        <v>80.179315955646828</v>
      </c>
      <c r="BX31">
        <v>79.559706828312642</v>
      </c>
      <c r="BY31">
        <v>78.857737495680368</v>
      </c>
      <c r="BZ31">
        <v>78.056086927949337</v>
      </c>
      <c r="CA31">
        <v>77.132307375941878</v>
      </c>
      <c r="CB31">
        <v>76.056823249576297</v>
      </c>
      <c r="CD31">
        <v>84.473240307049508</v>
      </c>
      <c r="CE31">
        <v>84.280967555379164</v>
      </c>
      <c r="CF31">
        <v>84.074899159274267</v>
      </c>
      <c r="CG31">
        <v>83.853502914618986</v>
      </c>
      <c r="CH31">
        <v>83.615012307447813</v>
      </c>
      <c r="CI31">
        <v>83.357380231544639</v>
      </c>
      <c r="CJ31">
        <v>83.078221363532322</v>
      </c>
      <c r="CK31">
        <v>82.774739840991515</v>
      </c>
      <c r="CL31">
        <v>82.443637716154555</v>
      </c>
      <c r="CN31">
        <v>84.468606291847635</v>
      </c>
      <c r="CO31">
        <v>84.275832413586571</v>
      </c>
      <c r="CP31">
        <v>84.069188117119197</v>
      </c>
      <c r="CQ31">
        <v>83.84712675007664</v>
      </c>
      <c r="CR31">
        <v>83.60786387547239</v>
      </c>
      <c r="CS31">
        <v>83.349329976824819</v>
      </c>
      <c r="CT31">
        <v>83.069111470173709</v>
      </c>
      <c r="CU31">
        <v>82.764376526310059</v>
      </c>
      <c r="CV31">
        <v>82.431780966699961</v>
      </c>
      <c r="CX31">
        <v>74.88553680749375</v>
      </c>
      <c r="CY31">
        <v>76.130567596785468</v>
      </c>
      <c r="CZ31">
        <v>77.190334097219477</v>
      </c>
      <c r="DA31">
        <v>78.102533441199725</v>
      </c>
      <c r="DB31">
        <v>78.895472849923692</v>
      </c>
      <c r="DC31">
        <v>79.590768574511273</v>
      </c>
      <c r="DD31">
        <v>80.205181946942872</v>
      </c>
      <c r="DE31">
        <v>80.751891735891988</v>
      </c>
      <c r="DF31">
        <v>81.241391614118371</v>
      </c>
      <c r="DH31">
        <v>74.789943912043057</v>
      </c>
      <c r="DI31">
        <v>76.056823249576297</v>
      </c>
      <c r="DJ31">
        <v>77.132307375941878</v>
      </c>
      <c r="DK31">
        <v>78.056086927949337</v>
      </c>
      <c r="DL31">
        <v>78.857737495680368</v>
      </c>
      <c r="DM31">
        <v>79.559706828312642</v>
      </c>
      <c r="DN31">
        <v>80.179315955646828</v>
      </c>
      <c r="DO31">
        <v>80.730129339099761</v>
      </c>
      <c r="DP31">
        <v>81.222912066450775</v>
      </c>
      <c r="DR31">
        <v>25.772653472692422</v>
      </c>
      <c r="DS31">
        <v>34.662533883144853</v>
      </c>
      <c r="DT31">
        <v>44.536009445364563</v>
      </c>
      <c r="DU31">
        <v>52.538460979868461</v>
      </c>
      <c r="DV31">
        <v>58.596293873515215</v>
      </c>
      <c r="DW31">
        <v>63.167750138058103</v>
      </c>
      <c r="DX31">
        <v>66.674016222475174</v>
      </c>
      <c r="DY31">
        <v>69.420091081261575</v>
      </c>
      <c r="DZ31">
        <v>71.615573157720036</v>
      </c>
      <c r="EB31">
        <v>12.979350497927722</v>
      </c>
      <c r="EC31">
        <v>28.63490403452203</v>
      </c>
      <c r="ED31">
        <v>41.597516791214169</v>
      </c>
      <c r="EE31">
        <v>50.983028334975728</v>
      </c>
      <c r="EF31">
        <v>57.704631742407365</v>
      </c>
      <c r="EG31">
        <v>62.619883852030583</v>
      </c>
      <c r="EH31">
        <v>66.317354799349502</v>
      </c>
      <c r="EI31">
        <v>69.17659199301967</v>
      </c>
      <c r="EJ31">
        <v>71.442685620060914</v>
      </c>
      <c r="EL31">
        <v>73.40411254987491</v>
      </c>
      <c r="EM31">
        <v>71.615573157720036</v>
      </c>
      <c r="EN31">
        <v>69.420091081261575</v>
      </c>
      <c r="EO31">
        <v>66.674016222475174</v>
      </c>
      <c r="EP31">
        <v>63.167750138058103</v>
      </c>
      <c r="EQ31">
        <v>58.596293873515215</v>
      </c>
      <c r="ER31">
        <v>52.538460979868461</v>
      </c>
      <c r="ES31">
        <v>44.536009445364563</v>
      </c>
      <c r="ET31">
        <v>34.662533883144853</v>
      </c>
      <c r="EV31">
        <v>73.277298577697493</v>
      </c>
      <c r="EW31">
        <v>71.442685620060914</v>
      </c>
      <c r="EX31">
        <v>69.17659199301967</v>
      </c>
      <c r="EY31">
        <v>66.317354799349502</v>
      </c>
      <c r="EZ31">
        <v>62.619883852030583</v>
      </c>
      <c r="FA31">
        <v>57.704631742407365</v>
      </c>
      <c r="FB31">
        <v>50.983028334975728</v>
      </c>
      <c r="FC31">
        <v>41.597516791214169</v>
      </c>
      <c r="FD31">
        <v>28.63490403452203</v>
      </c>
      <c r="FF31">
        <v>81.682133819864788</v>
      </c>
      <c r="FG31">
        <v>81.241391614118371</v>
      </c>
      <c r="FH31">
        <v>80.751891735891988</v>
      </c>
      <c r="FI31">
        <v>80.205181946942872</v>
      </c>
      <c r="FJ31">
        <v>79.590768574511273</v>
      </c>
      <c r="FK31">
        <v>78.895472849923692</v>
      </c>
      <c r="FL31">
        <v>78.102533441199725</v>
      </c>
      <c r="FM31">
        <v>77.190334097219477</v>
      </c>
      <c r="FN31">
        <v>76.130567596785468</v>
      </c>
      <c r="FP31">
        <v>81.666311000420905</v>
      </c>
      <c r="FQ31">
        <v>81.222912066450775</v>
      </c>
      <c r="FR31">
        <v>80.730129339099761</v>
      </c>
      <c r="FS31">
        <v>80.179315955646828</v>
      </c>
      <c r="FT31">
        <v>79.559706828312642</v>
      </c>
      <c r="FU31">
        <v>78.857737495680368</v>
      </c>
      <c r="FV31">
        <v>78.056086927949337</v>
      </c>
      <c r="FW31">
        <v>77.132307375941878</v>
      </c>
      <c r="FX31">
        <v>76.056823249576297</v>
      </c>
      <c r="FZ31">
        <v>84.473240307049508</v>
      </c>
      <c r="GA31">
        <v>84.280967555379164</v>
      </c>
      <c r="GB31">
        <v>84.074899159274267</v>
      </c>
      <c r="GC31">
        <v>83.853502914618986</v>
      </c>
      <c r="GD31">
        <v>83.615012307447813</v>
      </c>
      <c r="GE31">
        <v>83.357380231544639</v>
      </c>
      <c r="GF31">
        <v>83.078221363532322</v>
      </c>
      <c r="GG31">
        <v>82.774739840991515</v>
      </c>
      <c r="GH31">
        <v>82.443637716154555</v>
      </c>
      <c r="GJ31">
        <v>84.468606291847635</v>
      </c>
      <c r="GK31">
        <v>84.275832413586571</v>
      </c>
      <c r="GL31">
        <v>84.069188117119197</v>
      </c>
      <c r="GM31">
        <v>83.84712675007664</v>
      </c>
      <c r="GN31">
        <v>83.60786387547239</v>
      </c>
      <c r="GO31">
        <v>83.349329976824819</v>
      </c>
      <c r="GP31">
        <v>83.069111470173709</v>
      </c>
      <c r="GQ31">
        <v>82.764376526310059</v>
      </c>
      <c r="GR31">
        <v>82.431780966699961</v>
      </c>
      <c r="GS31">
        <v>82.067347743305007</v>
      </c>
    </row>
    <row r="32" spans="2:201">
      <c r="B32">
        <v>74.999959773323056</v>
      </c>
      <c r="C32">
        <v>76.219129753593151</v>
      </c>
      <c r="D32">
        <v>77.260200612199412</v>
      </c>
      <c r="E32">
        <v>78.158572149894056</v>
      </c>
      <c r="F32">
        <v>78.941077260335803</v>
      </c>
      <c r="G32">
        <v>79.628359027754726</v>
      </c>
      <c r="H32">
        <v>80.236520084137325</v>
      </c>
      <c r="I32">
        <v>80.778283213605903</v>
      </c>
      <c r="J32">
        <v>81.2638199955815</v>
      </c>
      <c r="L32">
        <v>74.779210099476998</v>
      </c>
      <c r="M32">
        <v>76.048556597877322</v>
      </c>
      <c r="N32">
        <v>77.125811159573161</v>
      </c>
      <c r="O32">
        <v>78.050892552183086</v>
      </c>
      <c r="P32">
        <v>78.853520886884709</v>
      </c>
      <c r="Q32">
        <v>79.556238330059685</v>
      </c>
      <c r="R32">
        <v>80.176429288944689</v>
      </c>
      <c r="S32">
        <v>80.727701799386267</v>
      </c>
      <c r="T32">
        <v>81.220851554837992</v>
      </c>
      <c r="V32">
        <v>33.946295027753955</v>
      </c>
      <c r="W32">
        <v>39.880063941863064</v>
      </c>
      <c r="X32">
        <v>47.466059280396827</v>
      </c>
      <c r="Y32">
        <v>54.204579854833938</v>
      </c>
      <c r="Z32">
        <v>59.591153351587124</v>
      </c>
      <c r="AA32">
        <v>63.794531170745181</v>
      </c>
      <c r="AB32">
        <v>67.088752611716941</v>
      </c>
      <c r="AC32">
        <v>69.706396146123353</v>
      </c>
      <c r="AD32">
        <v>71.820453567351166</v>
      </c>
      <c r="AF32">
        <v>10.315082561193284</v>
      </c>
      <c r="AG32">
        <v>27.806069555844168</v>
      </c>
      <c r="AH32">
        <v>41.23221278344419</v>
      </c>
      <c r="AI32">
        <v>50.797684687577274</v>
      </c>
      <c r="AJ32">
        <v>57.600749965522155</v>
      </c>
      <c r="AK32">
        <v>62.556905302780194</v>
      </c>
      <c r="AL32">
        <v>66.276704930931317</v>
      </c>
      <c r="AM32">
        <v>69.148998836084942</v>
      </c>
      <c r="AN32">
        <v>71.423173028283941</v>
      </c>
      <c r="AP32">
        <v>73.555256161392734</v>
      </c>
      <c r="AQ32">
        <v>71.820453567351166</v>
      </c>
      <c r="AR32">
        <v>69.706396146123353</v>
      </c>
      <c r="AS32">
        <v>67.088752611716941</v>
      </c>
      <c r="AT32">
        <v>63.794531170745181</v>
      </c>
      <c r="AU32">
        <v>59.591153351587124</v>
      </c>
      <c r="AV32">
        <v>54.204579854833938</v>
      </c>
      <c r="AW32">
        <v>47.466059280396827</v>
      </c>
      <c r="AX32">
        <v>39.880063941863064</v>
      </c>
      <c r="AZ32">
        <v>73.263027853830792</v>
      </c>
      <c r="BA32">
        <v>71.423173028283941</v>
      </c>
      <c r="BB32">
        <v>69.148998836084942</v>
      </c>
      <c r="BC32">
        <v>66.276704930931317</v>
      </c>
      <c r="BD32">
        <v>62.556905302780194</v>
      </c>
      <c r="BE32">
        <v>57.600749965522155</v>
      </c>
      <c r="BF32">
        <v>50.797684687577274</v>
      </c>
      <c r="BG32">
        <v>41.23221278344419</v>
      </c>
      <c r="BH32">
        <v>27.806069555844168</v>
      </c>
      <c r="BJ32">
        <v>81.701350971045926</v>
      </c>
      <c r="BK32">
        <v>81.2638199955815</v>
      </c>
      <c r="BL32">
        <v>80.778283213605903</v>
      </c>
      <c r="BM32">
        <v>80.236520084137325</v>
      </c>
      <c r="BN32">
        <v>79.628359027754726</v>
      </c>
      <c r="BO32">
        <v>78.941077260335803</v>
      </c>
      <c r="BP32">
        <v>78.158572149894056</v>
      </c>
      <c r="BQ32">
        <v>77.260200612199412</v>
      </c>
      <c r="BR32">
        <v>76.219129753593151</v>
      </c>
      <c r="BT32">
        <v>81.66454732970891</v>
      </c>
      <c r="BU32">
        <v>81.220851554837992</v>
      </c>
      <c r="BV32">
        <v>80.727701799386267</v>
      </c>
      <c r="BW32">
        <v>80.176429288944689</v>
      </c>
      <c r="BX32">
        <v>79.556238330059685</v>
      </c>
      <c r="BY32">
        <v>78.853520886884709</v>
      </c>
      <c r="BZ32">
        <v>78.050892552183086</v>
      </c>
      <c r="CA32">
        <v>77.125811159573161</v>
      </c>
      <c r="CB32">
        <v>76.048556597877322</v>
      </c>
      <c r="CD32">
        <v>84.47888831817022</v>
      </c>
      <c r="CE32">
        <v>84.287225111298014</v>
      </c>
      <c r="CF32">
        <v>84.081856967670305</v>
      </c>
      <c r="CG32">
        <v>83.861269150568532</v>
      </c>
      <c r="CH32">
        <v>83.623716796507381</v>
      </c>
      <c r="CI32">
        <v>83.367179845392414</v>
      </c>
      <c r="CJ32">
        <v>83.089307045422316</v>
      </c>
      <c r="CK32">
        <v>82.787345846262937</v>
      </c>
      <c r="CL32">
        <v>82.458053899277147</v>
      </c>
      <c r="CN32">
        <v>84.468090681418388</v>
      </c>
      <c r="CO32">
        <v>84.275260988007318</v>
      </c>
      <c r="CP32">
        <v>84.068552536967644</v>
      </c>
      <c r="CQ32">
        <v>83.846417061784649</v>
      </c>
      <c r="CR32">
        <v>83.607068122304952</v>
      </c>
      <c r="CS32">
        <v>83.348433696212822</v>
      </c>
      <c r="CT32">
        <v>83.06809703792436</v>
      </c>
      <c r="CU32">
        <v>82.763222292145585</v>
      </c>
      <c r="CV32">
        <v>82.430460101913354</v>
      </c>
      <c r="CX32">
        <v>74.999959773323056</v>
      </c>
      <c r="CY32">
        <v>76.219129753593151</v>
      </c>
      <c r="CZ32">
        <v>77.260200612199412</v>
      </c>
      <c r="DA32">
        <v>78.158572149894056</v>
      </c>
      <c r="DB32">
        <v>78.941077260335803</v>
      </c>
      <c r="DC32">
        <v>79.628359027754726</v>
      </c>
      <c r="DD32">
        <v>80.236520084137325</v>
      </c>
      <c r="DE32">
        <v>80.778283213605903</v>
      </c>
      <c r="DF32">
        <v>81.2638199955815</v>
      </c>
      <c r="DH32">
        <v>74.779210099476998</v>
      </c>
      <c r="DI32">
        <v>76.048556597877322</v>
      </c>
      <c r="DJ32">
        <v>77.125811159573161</v>
      </c>
      <c r="DK32">
        <v>78.050892552183086</v>
      </c>
      <c r="DL32">
        <v>78.853520886884709</v>
      </c>
      <c r="DM32">
        <v>79.556238330059685</v>
      </c>
      <c r="DN32">
        <v>80.176429288944689</v>
      </c>
      <c r="DO32">
        <v>80.727701799386267</v>
      </c>
      <c r="DP32">
        <v>81.220851554837992</v>
      </c>
      <c r="DR32">
        <v>33.946295027753955</v>
      </c>
      <c r="DS32">
        <v>39.880063941863064</v>
      </c>
      <c r="DT32">
        <v>47.466059280396827</v>
      </c>
      <c r="DU32">
        <v>54.204579854833938</v>
      </c>
      <c r="DV32">
        <v>59.591153351587124</v>
      </c>
      <c r="DW32">
        <v>63.794531170745181</v>
      </c>
      <c r="DX32">
        <v>67.088752611716941</v>
      </c>
      <c r="DY32">
        <v>69.706396146123353</v>
      </c>
      <c r="DZ32">
        <v>71.820453567351166</v>
      </c>
      <c r="EB32">
        <v>10.315082561193284</v>
      </c>
      <c r="EC32">
        <v>27.806069555844168</v>
      </c>
      <c r="ED32">
        <v>41.23221278344419</v>
      </c>
      <c r="EE32">
        <v>50.797684687577274</v>
      </c>
      <c r="EF32">
        <v>57.600749965522155</v>
      </c>
      <c r="EG32">
        <v>62.556905302780194</v>
      </c>
      <c r="EH32">
        <v>66.276704930931317</v>
      </c>
      <c r="EI32">
        <v>69.148998836084942</v>
      </c>
      <c r="EJ32">
        <v>71.423173028283941</v>
      </c>
      <c r="EL32">
        <v>73.555256161392734</v>
      </c>
      <c r="EM32">
        <v>71.820453567351166</v>
      </c>
      <c r="EN32">
        <v>69.706396146123353</v>
      </c>
      <c r="EO32">
        <v>67.088752611716941</v>
      </c>
      <c r="EP32">
        <v>63.794531170745181</v>
      </c>
      <c r="EQ32">
        <v>59.591153351587124</v>
      </c>
      <c r="ER32">
        <v>54.204579854833938</v>
      </c>
      <c r="ES32">
        <v>47.466059280396827</v>
      </c>
      <c r="ET32">
        <v>39.880063941863064</v>
      </c>
      <c r="EV32">
        <v>73.263027853830792</v>
      </c>
      <c r="EW32">
        <v>71.423173028283941</v>
      </c>
      <c r="EX32">
        <v>69.148998836084942</v>
      </c>
      <c r="EY32">
        <v>66.276704930931317</v>
      </c>
      <c r="EZ32">
        <v>62.556905302780194</v>
      </c>
      <c r="FA32">
        <v>57.600749965522155</v>
      </c>
      <c r="FB32">
        <v>50.797684687577274</v>
      </c>
      <c r="FC32">
        <v>41.23221278344419</v>
      </c>
      <c r="FD32">
        <v>27.806069555844168</v>
      </c>
      <c r="FF32">
        <v>81.701350971045926</v>
      </c>
      <c r="FG32">
        <v>81.2638199955815</v>
      </c>
      <c r="FH32">
        <v>80.778283213605903</v>
      </c>
      <c r="FI32">
        <v>80.236520084137325</v>
      </c>
      <c r="FJ32">
        <v>79.628359027754726</v>
      </c>
      <c r="FK32">
        <v>78.941077260335803</v>
      </c>
      <c r="FL32">
        <v>78.158572149894056</v>
      </c>
      <c r="FM32">
        <v>77.260200612199412</v>
      </c>
      <c r="FN32">
        <v>76.219129753593151</v>
      </c>
      <c r="FP32">
        <v>81.66454732970891</v>
      </c>
      <c r="FQ32">
        <v>81.220851554837992</v>
      </c>
      <c r="FR32">
        <v>80.727701799386267</v>
      </c>
      <c r="FS32">
        <v>80.176429288944689</v>
      </c>
      <c r="FT32">
        <v>79.556238330059685</v>
      </c>
      <c r="FU32">
        <v>78.853520886884709</v>
      </c>
      <c r="FV32">
        <v>78.050892552183086</v>
      </c>
      <c r="FW32">
        <v>77.125811159573161</v>
      </c>
      <c r="FX32">
        <v>76.048556597877322</v>
      </c>
      <c r="FZ32">
        <v>84.47888831817022</v>
      </c>
      <c r="GA32">
        <v>84.287225111298014</v>
      </c>
      <c r="GB32">
        <v>84.081856967670305</v>
      </c>
      <c r="GC32">
        <v>83.861269150568532</v>
      </c>
      <c r="GD32">
        <v>83.623716796507381</v>
      </c>
      <c r="GE32">
        <v>83.367179845392414</v>
      </c>
      <c r="GF32">
        <v>83.089307045422316</v>
      </c>
      <c r="GG32">
        <v>82.787345846262937</v>
      </c>
      <c r="GH32">
        <v>82.458053899277147</v>
      </c>
      <c r="GJ32">
        <v>84.468090681418388</v>
      </c>
      <c r="GK32">
        <v>84.275260988007318</v>
      </c>
      <c r="GL32">
        <v>84.068552536967644</v>
      </c>
      <c r="GM32">
        <v>83.846417061784649</v>
      </c>
      <c r="GN32">
        <v>83.607068122304952</v>
      </c>
      <c r="GO32">
        <v>83.348433696212822</v>
      </c>
      <c r="GP32">
        <v>83.06809703792436</v>
      </c>
      <c r="GQ32">
        <v>82.763222292145585</v>
      </c>
      <c r="GR32">
        <v>82.430460101913354</v>
      </c>
      <c r="GS32">
        <v>82.065826685951137</v>
      </c>
    </row>
    <row r="33" spans="2:201">
      <c r="B33">
        <v>75.15188234629926</v>
      </c>
      <c r="C33">
        <v>76.337206185558401</v>
      </c>
      <c r="D33">
        <v>77.35365619530441</v>
      </c>
      <c r="E33">
        <v>78.233727709218201</v>
      </c>
      <c r="F33">
        <v>79.002369074697143</v>
      </c>
      <c r="G33">
        <v>79.678968483970976</v>
      </c>
      <c r="H33">
        <v>80.278773125375764</v>
      </c>
      <c r="I33">
        <v>80.813910137322353</v>
      </c>
      <c r="J33">
        <v>81.29412830752581</v>
      </c>
      <c r="L33">
        <v>74.811343555889422</v>
      </c>
      <c r="M33">
        <v>76.073312550308358</v>
      </c>
      <c r="N33">
        <v>77.145270354889462</v>
      </c>
      <c r="O33">
        <v>78.066455386009139</v>
      </c>
      <c r="P33">
        <v>78.866156375370721</v>
      </c>
      <c r="Q33">
        <v>79.566633469030293</v>
      </c>
      <c r="R33">
        <v>80.185081662424309</v>
      </c>
      <c r="S33">
        <v>80.734978703768505</v>
      </c>
      <c r="T33">
        <v>81.227028740688951</v>
      </c>
      <c r="V33">
        <v>40.952351591593704</v>
      </c>
      <c r="W33">
        <v>44.973117396971325</v>
      </c>
      <c r="X33">
        <v>50.656886529398676</v>
      </c>
      <c r="Y33">
        <v>56.15086812484487</v>
      </c>
      <c r="Z33">
        <v>60.805976083228174</v>
      </c>
      <c r="AA33">
        <v>64.58223577572241</v>
      </c>
      <c r="AB33">
        <v>67.62014850489652</v>
      </c>
      <c r="AC33">
        <v>70.078201795535321</v>
      </c>
      <c r="AD33">
        <v>72.089098587328323</v>
      </c>
      <c r="AF33">
        <v>16.970296539403275</v>
      </c>
      <c r="AG33">
        <v>30.177366030617918</v>
      </c>
      <c r="AH33">
        <v>42.302624878481225</v>
      </c>
      <c r="AI33">
        <v>51.345780337700916</v>
      </c>
      <c r="AJ33">
        <v>57.90940183466796</v>
      </c>
      <c r="AK33">
        <v>62.744544446154045</v>
      </c>
      <c r="AL33">
        <v>66.398029827964606</v>
      </c>
      <c r="AM33">
        <v>69.23145071853078</v>
      </c>
      <c r="AN33">
        <v>71.481526863846696</v>
      </c>
      <c r="AP33">
        <v>73.754856248318845</v>
      </c>
      <c r="AQ33">
        <v>72.089098587328323</v>
      </c>
      <c r="AR33">
        <v>70.078201795535321</v>
      </c>
      <c r="AS33">
        <v>67.62014850489652</v>
      </c>
      <c r="AT33">
        <v>64.58223577572241</v>
      </c>
      <c r="AU33">
        <v>60.805976083228174</v>
      </c>
      <c r="AV33">
        <v>56.15086812484487</v>
      </c>
      <c r="AW33">
        <v>50.656886529398676</v>
      </c>
      <c r="AX33">
        <v>44.973117396971325</v>
      </c>
      <c r="AZ33">
        <v>73.305730782725433</v>
      </c>
      <c r="BA33">
        <v>71.481526863846696</v>
      </c>
      <c r="BB33">
        <v>69.23145071853078</v>
      </c>
      <c r="BC33">
        <v>66.398029827964606</v>
      </c>
      <c r="BD33">
        <v>62.744544446154045</v>
      </c>
      <c r="BE33">
        <v>57.90940183466796</v>
      </c>
      <c r="BF33">
        <v>51.345780337700916</v>
      </c>
      <c r="BG33">
        <v>42.302624878481225</v>
      </c>
      <c r="BH33">
        <v>30.177366030617918</v>
      </c>
      <c r="BJ33">
        <v>81.727342800331087</v>
      </c>
      <c r="BK33">
        <v>81.29412830752581</v>
      </c>
      <c r="BL33">
        <v>80.813910137322353</v>
      </c>
      <c r="BM33">
        <v>80.278773125375764</v>
      </c>
      <c r="BN33">
        <v>79.678968483970976</v>
      </c>
      <c r="BO33">
        <v>79.002369074697143</v>
      </c>
      <c r="BP33">
        <v>78.233727709218201</v>
      </c>
      <c r="BQ33">
        <v>77.35365619530441</v>
      </c>
      <c r="BR33">
        <v>76.337206185558401</v>
      </c>
      <c r="BT33">
        <v>81.669834985790729</v>
      </c>
      <c r="BU33">
        <v>81.227028740688951</v>
      </c>
      <c r="BV33">
        <v>80.734978703768505</v>
      </c>
      <c r="BW33">
        <v>80.185081662424309</v>
      </c>
      <c r="BX33">
        <v>79.566633469030293</v>
      </c>
      <c r="BY33">
        <v>78.866156375370721</v>
      </c>
      <c r="BZ33">
        <v>78.066455386009139</v>
      </c>
      <c r="CA33">
        <v>77.145270354889462</v>
      </c>
      <c r="CB33">
        <v>76.073312550308358</v>
      </c>
      <c r="CD33">
        <v>84.486562319838669</v>
      </c>
      <c r="CE33">
        <v>84.29572513367205</v>
      </c>
      <c r="CF33">
        <v>84.091305506258081</v>
      </c>
      <c r="CG33">
        <v>83.871812185336111</v>
      </c>
      <c r="CH33">
        <v>83.635529385002712</v>
      </c>
      <c r="CI33">
        <v>83.380473326245479</v>
      </c>
      <c r="CJ33">
        <v>83.104338401850043</v>
      </c>
      <c r="CK33">
        <v>82.804429998317161</v>
      </c>
      <c r="CL33">
        <v>82.47758001354525</v>
      </c>
      <c r="CN33">
        <v>84.469637080325882</v>
      </c>
      <c r="CO33">
        <v>84.276974751587105</v>
      </c>
      <c r="CP33">
        <v>84.070458664710429</v>
      </c>
      <c r="CQ33">
        <v>83.848545390332717</v>
      </c>
      <c r="CR33">
        <v>83.609454490747083</v>
      </c>
      <c r="CS33">
        <v>83.35112145162536</v>
      </c>
      <c r="CT33">
        <v>83.071138999272094</v>
      </c>
      <c r="CU33">
        <v>82.766683338712284</v>
      </c>
      <c r="CV33">
        <v>82.434420623156143</v>
      </c>
      <c r="CX33">
        <v>75.15188234629926</v>
      </c>
      <c r="CY33">
        <v>76.337206185558401</v>
      </c>
      <c r="CZ33">
        <v>77.35365619530441</v>
      </c>
      <c r="DA33">
        <v>78.233727709218201</v>
      </c>
      <c r="DB33">
        <v>79.002369074697143</v>
      </c>
      <c r="DC33">
        <v>79.678968483970976</v>
      </c>
      <c r="DD33">
        <v>80.278773125375764</v>
      </c>
      <c r="DE33">
        <v>80.813910137322353</v>
      </c>
      <c r="DF33">
        <v>81.29412830752581</v>
      </c>
      <c r="DH33">
        <v>74.811343555889422</v>
      </c>
      <c r="DI33">
        <v>76.073312550308358</v>
      </c>
      <c r="DJ33">
        <v>77.145270354889462</v>
      </c>
      <c r="DK33">
        <v>78.066455386009139</v>
      </c>
      <c r="DL33">
        <v>78.866156375370721</v>
      </c>
      <c r="DM33">
        <v>79.566633469030293</v>
      </c>
      <c r="DN33">
        <v>80.185081662424309</v>
      </c>
      <c r="DO33">
        <v>80.734978703768505</v>
      </c>
      <c r="DP33">
        <v>81.227028740688951</v>
      </c>
      <c r="DR33">
        <v>40.952351591593704</v>
      </c>
      <c r="DS33">
        <v>44.973117396971325</v>
      </c>
      <c r="DT33">
        <v>50.656886529398676</v>
      </c>
      <c r="DU33">
        <v>56.15086812484487</v>
      </c>
      <c r="DV33">
        <v>60.805976083228174</v>
      </c>
      <c r="DW33">
        <v>64.58223577572241</v>
      </c>
      <c r="DX33">
        <v>67.62014850489652</v>
      </c>
      <c r="DY33">
        <v>70.078201795535321</v>
      </c>
      <c r="DZ33">
        <v>72.089098587328323</v>
      </c>
      <c r="EB33">
        <v>16.970296539403275</v>
      </c>
      <c r="EC33">
        <v>30.177366030617918</v>
      </c>
      <c r="ED33">
        <v>42.302624878481225</v>
      </c>
      <c r="EE33">
        <v>51.345780337700916</v>
      </c>
      <c r="EF33">
        <v>57.90940183466796</v>
      </c>
      <c r="EG33">
        <v>62.744544446154045</v>
      </c>
      <c r="EH33">
        <v>66.398029827964606</v>
      </c>
      <c r="EI33">
        <v>69.23145071853078</v>
      </c>
      <c r="EJ33">
        <v>71.481526863846696</v>
      </c>
      <c r="EL33">
        <v>73.754856248318845</v>
      </c>
      <c r="EM33">
        <v>72.089098587328323</v>
      </c>
      <c r="EN33">
        <v>70.078201795535321</v>
      </c>
      <c r="EO33">
        <v>67.62014850489652</v>
      </c>
      <c r="EP33">
        <v>64.58223577572241</v>
      </c>
      <c r="EQ33">
        <v>60.805976083228174</v>
      </c>
      <c r="ER33">
        <v>56.15086812484487</v>
      </c>
      <c r="ES33">
        <v>50.656886529398676</v>
      </c>
      <c r="ET33">
        <v>44.973117396971325</v>
      </c>
      <c r="EV33">
        <v>73.305730782725433</v>
      </c>
      <c r="EW33">
        <v>71.481526863846696</v>
      </c>
      <c r="EX33">
        <v>69.23145071853078</v>
      </c>
      <c r="EY33">
        <v>66.398029827964606</v>
      </c>
      <c r="EZ33">
        <v>62.744544446154045</v>
      </c>
      <c r="FA33">
        <v>57.90940183466796</v>
      </c>
      <c r="FB33">
        <v>51.345780337700916</v>
      </c>
      <c r="FC33">
        <v>42.302624878481225</v>
      </c>
      <c r="FD33">
        <v>30.177366030617918</v>
      </c>
      <c r="FF33">
        <v>81.727342800331087</v>
      </c>
      <c r="FG33">
        <v>81.29412830752581</v>
      </c>
      <c r="FH33">
        <v>80.813910137322353</v>
      </c>
      <c r="FI33">
        <v>80.278773125375764</v>
      </c>
      <c r="FJ33">
        <v>79.678968483970976</v>
      </c>
      <c r="FK33">
        <v>79.002369074697143</v>
      </c>
      <c r="FL33">
        <v>78.233727709218201</v>
      </c>
      <c r="FM33">
        <v>77.35365619530441</v>
      </c>
      <c r="FN33">
        <v>76.337206185558401</v>
      </c>
      <c r="FP33">
        <v>81.669834985790729</v>
      </c>
      <c r="FQ33">
        <v>81.227028740688951</v>
      </c>
      <c r="FR33">
        <v>80.734978703768505</v>
      </c>
      <c r="FS33">
        <v>80.185081662424309</v>
      </c>
      <c r="FT33">
        <v>79.566633469030293</v>
      </c>
      <c r="FU33">
        <v>78.866156375370721</v>
      </c>
      <c r="FV33">
        <v>78.066455386009139</v>
      </c>
      <c r="FW33">
        <v>77.145270354889462</v>
      </c>
      <c r="FX33">
        <v>76.073312550308358</v>
      </c>
      <c r="FZ33">
        <v>84.486562319838669</v>
      </c>
      <c r="GA33">
        <v>84.29572513367205</v>
      </c>
      <c r="GB33">
        <v>84.091305506258081</v>
      </c>
      <c r="GC33">
        <v>83.871812185336111</v>
      </c>
      <c r="GD33">
        <v>83.635529385002712</v>
      </c>
      <c r="GE33">
        <v>83.380473326245479</v>
      </c>
      <c r="GF33">
        <v>83.104338401850043</v>
      </c>
      <c r="GG33">
        <v>82.804429998317161</v>
      </c>
      <c r="GH33">
        <v>82.47758001354525</v>
      </c>
      <c r="GJ33">
        <v>84.469637080325882</v>
      </c>
      <c r="GK33">
        <v>84.276974751587105</v>
      </c>
      <c r="GL33">
        <v>84.070458664710429</v>
      </c>
      <c r="GM33">
        <v>83.848545390332717</v>
      </c>
      <c r="GN33">
        <v>83.609454490747083</v>
      </c>
      <c r="GO33">
        <v>83.35112145162536</v>
      </c>
      <c r="GP33">
        <v>83.071138999272094</v>
      </c>
      <c r="GQ33">
        <v>82.766683338712284</v>
      </c>
      <c r="GR33">
        <v>82.434420623156143</v>
      </c>
      <c r="GS33">
        <v>82.070387235357884</v>
      </c>
    </row>
    <row r="34" spans="2:201">
      <c r="B34">
        <v>75.337848302174336</v>
      </c>
      <c r="C34">
        <v>76.482500707367294</v>
      </c>
      <c r="D34">
        <v>77.469132130509294</v>
      </c>
      <c r="E34">
        <v>78.326901515001893</v>
      </c>
      <c r="F34">
        <v>79.078561778814617</v>
      </c>
      <c r="G34">
        <v>79.74202267838271</v>
      </c>
      <c r="H34">
        <v>80.331514322868145</v>
      </c>
      <c r="I34">
        <v>80.858450312902136</v>
      </c>
      <c r="J34">
        <v>81.332069782892376</v>
      </c>
      <c r="L34">
        <v>74.88553680749375</v>
      </c>
      <c r="M34">
        <v>76.130567596785468</v>
      </c>
      <c r="N34">
        <v>77.190334097219477</v>
      </c>
      <c r="O34">
        <v>78.102533441199725</v>
      </c>
      <c r="P34">
        <v>78.895472849923692</v>
      </c>
      <c r="Q34">
        <v>79.590768574511273</v>
      </c>
      <c r="R34">
        <v>80.205181946942872</v>
      </c>
      <c r="S34">
        <v>80.751891735891988</v>
      </c>
      <c r="T34">
        <v>81.241391614118371</v>
      </c>
      <c r="V34">
        <v>46.789032669782969</v>
      </c>
      <c r="W34">
        <v>49.574466841299973</v>
      </c>
      <c r="X34">
        <v>53.809330425403736</v>
      </c>
      <c r="Y34">
        <v>58.20931111603339</v>
      </c>
      <c r="Z34">
        <v>62.153137800613962</v>
      </c>
      <c r="AA34">
        <v>65.4846592814351</v>
      </c>
      <c r="AB34">
        <v>68.242908363853886</v>
      </c>
      <c r="AC34">
        <v>70.521037651693504</v>
      </c>
      <c r="AD34">
        <v>72.41286662826262</v>
      </c>
      <c r="AF34">
        <v>25.772653472692422</v>
      </c>
      <c r="AG34">
        <v>34.662533883144853</v>
      </c>
      <c r="AH34">
        <v>44.536009445364563</v>
      </c>
      <c r="AI34">
        <v>52.538460979868461</v>
      </c>
      <c r="AJ34">
        <v>58.596293873515215</v>
      </c>
      <c r="AK34">
        <v>63.167750138058103</v>
      </c>
      <c r="AL34">
        <v>66.674016222475174</v>
      </c>
      <c r="AM34">
        <v>69.420091081261575</v>
      </c>
      <c r="AN34">
        <v>71.615573157720036</v>
      </c>
      <c r="AP34">
        <v>73.99754384840837</v>
      </c>
      <c r="AQ34">
        <v>72.41286662826262</v>
      </c>
      <c r="AR34">
        <v>70.521037651693504</v>
      </c>
      <c r="AS34">
        <v>68.242908363853886</v>
      </c>
      <c r="AT34">
        <v>65.4846592814351</v>
      </c>
      <c r="AU34">
        <v>62.153137800613962</v>
      </c>
      <c r="AV34">
        <v>58.20931111603339</v>
      </c>
      <c r="AW34">
        <v>53.809330425403736</v>
      </c>
      <c r="AX34">
        <v>49.574466841299973</v>
      </c>
      <c r="AZ34">
        <v>73.40411254987491</v>
      </c>
      <c r="BA34">
        <v>71.615573157720036</v>
      </c>
      <c r="BB34">
        <v>69.420091081261575</v>
      </c>
      <c r="BC34">
        <v>66.674016222475174</v>
      </c>
      <c r="BD34">
        <v>63.167750138058103</v>
      </c>
      <c r="BE34">
        <v>58.596293873515215</v>
      </c>
      <c r="BF34">
        <v>52.538460979868461</v>
      </c>
      <c r="BG34">
        <v>44.536009445364563</v>
      </c>
      <c r="BH34">
        <v>34.662533883144853</v>
      </c>
      <c r="BJ34">
        <v>81.759917837050097</v>
      </c>
      <c r="BK34">
        <v>81.332069782892376</v>
      </c>
      <c r="BL34">
        <v>80.858450312902136</v>
      </c>
      <c r="BM34">
        <v>80.331514322868145</v>
      </c>
      <c r="BN34">
        <v>79.74202267838271</v>
      </c>
      <c r="BO34">
        <v>79.078561778814617</v>
      </c>
      <c r="BP34">
        <v>78.326901515001893</v>
      </c>
      <c r="BQ34">
        <v>77.469132130509294</v>
      </c>
      <c r="BR34">
        <v>76.482500707367294</v>
      </c>
      <c r="BT34">
        <v>81.682133819864788</v>
      </c>
      <c r="BU34">
        <v>81.241391614118371</v>
      </c>
      <c r="BV34">
        <v>80.751891735891988</v>
      </c>
      <c r="BW34">
        <v>80.205181946942872</v>
      </c>
      <c r="BX34">
        <v>79.590768574511273</v>
      </c>
      <c r="BY34">
        <v>78.895472849923692</v>
      </c>
      <c r="BZ34">
        <v>78.102533441199725</v>
      </c>
      <c r="CA34">
        <v>77.190334097219477</v>
      </c>
      <c r="CB34">
        <v>76.130567596785468</v>
      </c>
      <c r="CD34">
        <v>84.496236940561161</v>
      </c>
      <c r="CE34">
        <v>84.306437558450696</v>
      </c>
      <c r="CF34">
        <v>84.103208941148267</v>
      </c>
      <c r="CG34">
        <v>83.88508903916852</v>
      </c>
      <c r="CH34">
        <v>83.650398174418029</v>
      </c>
      <c r="CI34">
        <v>83.397197551299712</v>
      </c>
      <c r="CJ34">
        <v>83.123238057546075</v>
      </c>
      <c r="CK34">
        <v>82.825896649225754</v>
      </c>
      <c r="CL34">
        <v>82.502096739117945</v>
      </c>
      <c r="CN34">
        <v>84.473240307049508</v>
      </c>
      <c r="CO34">
        <v>84.280967555379164</v>
      </c>
      <c r="CP34">
        <v>84.074899159274267</v>
      </c>
      <c r="CQ34">
        <v>83.853502914618986</v>
      </c>
      <c r="CR34">
        <v>83.615012307447813</v>
      </c>
      <c r="CS34">
        <v>83.357380231544639</v>
      </c>
      <c r="CT34">
        <v>83.078221363532322</v>
      </c>
      <c r="CU34">
        <v>82.774739840991515</v>
      </c>
      <c r="CV34">
        <v>82.443637716154555</v>
      </c>
      <c r="CX34">
        <v>75.337848302174336</v>
      </c>
      <c r="CY34">
        <v>76.482500707367294</v>
      </c>
      <c r="CZ34">
        <v>77.469132130509294</v>
      </c>
      <c r="DA34">
        <v>78.326901515001893</v>
      </c>
      <c r="DB34">
        <v>79.078561778814617</v>
      </c>
      <c r="DC34">
        <v>79.74202267838271</v>
      </c>
      <c r="DD34">
        <v>80.331514322868145</v>
      </c>
      <c r="DE34">
        <v>80.858450312902136</v>
      </c>
      <c r="DF34">
        <v>81.332069782892376</v>
      </c>
      <c r="DH34">
        <v>74.88553680749375</v>
      </c>
      <c r="DI34">
        <v>76.130567596785468</v>
      </c>
      <c r="DJ34">
        <v>77.190334097219477</v>
      </c>
      <c r="DK34">
        <v>78.102533441199725</v>
      </c>
      <c r="DL34">
        <v>78.895472849923692</v>
      </c>
      <c r="DM34">
        <v>79.590768574511273</v>
      </c>
      <c r="DN34">
        <v>80.205181946942872</v>
      </c>
      <c r="DO34">
        <v>80.751891735891988</v>
      </c>
      <c r="DP34">
        <v>81.241391614118371</v>
      </c>
      <c r="DR34">
        <v>46.789032669782969</v>
      </c>
      <c r="DS34">
        <v>49.574466841299973</v>
      </c>
      <c r="DT34">
        <v>53.809330425403736</v>
      </c>
      <c r="DU34">
        <v>58.20931111603339</v>
      </c>
      <c r="DV34">
        <v>62.153137800613962</v>
      </c>
      <c r="DW34">
        <v>65.4846592814351</v>
      </c>
      <c r="DX34">
        <v>68.242908363853886</v>
      </c>
      <c r="DY34">
        <v>70.521037651693504</v>
      </c>
      <c r="DZ34">
        <v>72.41286662826262</v>
      </c>
      <c r="EB34">
        <v>25.772653472692422</v>
      </c>
      <c r="EC34">
        <v>34.662533883144853</v>
      </c>
      <c r="ED34">
        <v>44.536009445364563</v>
      </c>
      <c r="EE34">
        <v>52.538460979868461</v>
      </c>
      <c r="EF34">
        <v>58.596293873515215</v>
      </c>
      <c r="EG34">
        <v>63.167750138058103</v>
      </c>
      <c r="EH34">
        <v>66.674016222475174</v>
      </c>
      <c r="EI34">
        <v>69.420091081261575</v>
      </c>
      <c r="EJ34">
        <v>71.615573157720036</v>
      </c>
      <c r="EL34">
        <v>73.99754384840837</v>
      </c>
      <c r="EM34">
        <v>72.41286662826262</v>
      </c>
      <c r="EN34">
        <v>70.521037651693504</v>
      </c>
      <c r="EO34">
        <v>68.242908363853886</v>
      </c>
      <c r="EP34">
        <v>65.4846592814351</v>
      </c>
      <c r="EQ34">
        <v>62.153137800613962</v>
      </c>
      <c r="ER34">
        <v>58.20931111603339</v>
      </c>
      <c r="ES34">
        <v>53.809330425403736</v>
      </c>
      <c r="ET34">
        <v>49.574466841299973</v>
      </c>
      <c r="EV34">
        <v>73.40411254987491</v>
      </c>
      <c r="EW34">
        <v>71.615573157720036</v>
      </c>
      <c r="EX34">
        <v>69.420091081261575</v>
      </c>
      <c r="EY34">
        <v>66.674016222475174</v>
      </c>
      <c r="EZ34">
        <v>63.167750138058103</v>
      </c>
      <c r="FA34">
        <v>58.596293873515215</v>
      </c>
      <c r="FB34">
        <v>52.538460979868461</v>
      </c>
      <c r="FC34">
        <v>44.536009445364563</v>
      </c>
      <c r="FD34">
        <v>34.662533883144853</v>
      </c>
      <c r="FF34">
        <v>81.759917837050097</v>
      </c>
      <c r="FG34">
        <v>81.332069782892376</v>
      </c>
      <c r="FH34">
        <v>80.858450312902136</v>
      </c>
      <c r="FI34">
        <v>80.331514322868145</v>
      </c>
      <c r="FJ34">
        <v>79.74202267838271</v>
      </c>
      <c r="FK34">
        <v>79.078561778814617</v>
      </c>
      <c r="FL34">
        <v>78.326901515001893</v>
      </c>
      <c r="FM34">
        <v>77.469132130509294</v>
      </c>
      <c r="FN34">
        <v>76.482500707367294</v>
      </c>
      <c r="FP34">
        <v>81.682133819864788</v>
      </c>
      <c r="FQ34">
        <v>81.241391614118371</v>
      </c>
      <c r="FR34">
        <v>80.751891735891988</v>
      </c>
      <c r="FS34">
        <v>80.205181946942872</v>
      </c>
      <c r="FT34">
        <v>79.590768574511273</v>
      </c>
      <c r="FU34">
        <v>78.895472849923692</v>
      </c>
      <c r="FV34">
        <v>78.102533441199725</v>
      </c>
      <c r="FW34">
        <v>77.190334097219477</v>
      </c>
      <c r="FX34">
        <v>76.130567596785468</v>
      </c>
      <c r="FZ34">
        <v>84.496236940561161</v>
      </c>
      <c r="GA34">
        <v>84.306437558450696</v>
      </c>
      <c r="GB34">
        <v>84.103208941148267</v>
      </c>
      <c r="GC34">
        <v>83.88508903916852</v>
      </c>
      <c r="GD34">
        <v>83.650398174418029</v>
      </c>
      <c r="GE34">
        <v>83.397197551299712</v>
      </c>
      <c r="GF34">
        <v>83.123238057546075</v>
      </c>
      <c r="GG34">
        <v>82.825896649225754</v>
      </c>
      <c r="GH34">
        <v>82.502096739117945</v>
      </c>
      <c r="GJ34">
        <v>84.473240307049508</v>
      </c>
      <c r="GK34">
        <v>84.280967555379164</v>
      </c>
      <c r="GL34">
        <v>84.074899159274267</v>
      </c>
      <c r="GM34">
        <v>83.853502914618986</v>
      </c>
      <c r="GN34">
        <v>83.615012307447813</v>
      </c>
      <c r="GO34">
        <v>83.357380231544639</v>
      </c>
      <c r="GP34">
        <v>83.078221363532322</v>
      </c>
      <c r="GQ34">
        <v>82.774739840991515</v>
      </c>
      <c r="GR34">
        <v>82.443637716154555</v>
      </c>
      <c r="GS34">
        <v>82.080998007385901</v>
      </c>
    </row>
    <row r="36" spans="2:201">
      <c r="B36">
        <v>74.88553680749375</v>
      </c>
      <c r="C36">
        <v>76.130567596785468</v>
      </c>
      <c r="D36">
        <v>77.190334097219477</v>
      </c>
      <c r="E36">
        <v>78.102533441199725</v>
      </c>
      <c r="F36">
        <v>78.895472849923692</v>
      </c>
      <c r="G36">
        <v>79.590768574511273</v>
      </c>
      <c r="H36">
        <v>80.205181946942872</v>
      </c>
      <c r="I36">
        <v>80.751891735891988</v>
      </c>
      <c r="J36">
        <v>81.241391614118371</v>
      </c>
      <c r="L36">
        <v>75.337848302174336</v>
      </c>
      <c r="M36">
        <v>76.482500707367294</v>
      </c>
      <c r="N36">
        <v>77.469132130509294</v>
      </c>
      <c r="O36">
        <v>78.326901515001893</v>
      </c>
      <c r="P36">
        <v>79.078561778814617</v>
      </c>
      <c r="Q36">
        <v>79.74202267838271</v>
      </c>
      <c r="R36">
        <v>80.331514322868145</v>
      </c>
      <c r="S36">
        <v>80.858450312902136</v>
      </c>
      <c r="T36">
        <v>81.332069782892376</v>
      </c>
      <c r="V36">
        <v>25.772653472692422</v>
      </c>
      <c r="W36">
        <v>34.662533883144853</v>
      </c>
      <c r="X36">
        <v>44.536009445364563</v>
      </c>
      <c r="Y36">
        <v>52.538460979868461</v>
      </c>
      <c r="Z36">
        <v>58.596293873515215</v>
      </c>
      <c r="AA36">
        <v>63.167750138058103</v>
      </c>
      <c r="AB36">
        <v>66.674016222475174</v>
      </c>
      <c r="AC36">
        <v>69.420091081261575</v>
      </c>
      <c r="AD36">
        <v>71.615573157720036</v>
      </c>
      <c r="AF36">
        <v>46.789032669782969</v>
      </c>
      <c r="AG36">
        <v>49.574466841299973</v>
      </c>
      <c r="AH36">
        <v>53.809330425403736</v>
      </c>
      <c r="AI36">
        <v>58.20931111603339</v>
      </c>
      <c r="AJ36">
        <v>62.153137800613962</v>
      </c>
      <c r="AK36">
        <v>65.4846592814351</v>
      </c>
      <c r="AL36">
        <v>68.242908363853886</v>
      </c>
      <c r="AM36">
        <v>70.521037651693504</v>
      </c>
      <c r="AN36">
        <v>72.41286662826262</v>
      </c>
      <c r="AP36">
        <v>73.40411254987491</v>
      </c>
      <c r="AQ36">
        <v>71.615573157720036</v>
      </c>
      <c r="AR36">
        <v>69.420091081261575</v>
      </c>
      <c r="AS36">
        <v>66.674016222475174</v>
      </c>
      <c r="AT36">
        <v>63.167750138058103</v>
      </c>
      <c r="AU36">
        <v>58.596293873515215</v>
      </c>
      <c r="AV36">
        <v>52.538460979868461</v>
      </c>
      <c r="AW36">
        <v>44.536009445364563</v>
      </c>
      <c r="AX36">
        <v>34.662533883144853</v>
      </c>
      <c r="AZ36">
        <v>73.99754384840837</v>
      </c>
      <c r="BA36">
        <v>72.41286662826262</v>
      </c>
      <c r="BB36">
        <v>70.521037651693504</v>
      </c>
      <c r="BC36">
        <v>68.242908363853886</v>
      </c>
      <c r="BD36">
        <v>65.4846592814351</v>
      </c>
      <c r="BE36">
        <v>62.153137800613962</v>
      </c>
      <c r="BF36">
        <v>58.20931111603339</v>
      </c>
      <c r="BG36">
        <v>53.809330425403736</v>
      </c>
      <c r="BH36">
        <v>49.574466841299973</v>
      </c>
      <c r="BJ36">
        <v>81.682133819864788</v>
      </c>
      <c r="BK36">
        <v>81.241391614118371</v>
      </c>
      <c r="BL36">
        <v>80.751891735891988</v>
      </c>
      <c r="BM36">
        <v>80.205181946942872</v>
      </c>
      <c r="BN36">
        <v>79.590768574511273</v>
      </c>
      <c r="BO36">
        <v>78.895472849923692</v>
      </c>
      <c r="BP36">
        <v>78.102533441199725</v>
      </c>
      <c r="BQ36">
        <v>77.190334097219477</v>
      </c>
      <c r="BR36">
        <v>76.130567596785468</v>
      </c>
      <c r="BT36">
        <v>81.759917837050097</v>
      </c>
      <c r="BU36">
        <v>81.332069782892376</v>
      </c>
      <c r="BV36">
        <v>80.858450312902136</v>
      </c>
      <c r="BW36">
        <v>80.331514322868145</v>
      </c>
      <c r="BX36">
        <v>79.74202267838271</v>
      </c>
      <c r="BY36">
        <v>79.078561778814617</v>
      </c>
      <c r="BZ36">
        <v>78.326901515001893</v>
      </c>
      <c r="CA36">
        <v>77.469132130509294</v>
      </c>
      <c r="CB36">
        <v>76.482500707367294</v>
      </c>
      <c r="CD36">
        <v>84.473240307049508</v>
      </c>
      <c r="CE36">
        <v>84.280967555379164</v>
      </c>
      <c r="CF36">
        <v>84.074899159274267</v>
      </c>
      <c r="CG36">
        <v>83.853502914618986</v>
      </c>
      <c r="CH36">
        <v>83.615012307447813</v>
      </c>
      <c r="CI36">
        <v>83.357380231544639</v>
      </c>
      <c r="CJ36">
        <v>83.078221363532322</v>
      </c>
      <c r="CK36">
        <v>82.774739840991515</v>
      </c>
      <c r="CL36">
        <v>82.443637716154555</v>
      </c>
      <c r="CN36">
        <v>84.496236940561161</v>
      </c>
      <c r="CO36">
        <v>84.306437558450696</v>
      </c>
      <c r="CP36">
        <v>84.103208941148267</v>
      </c>
      <c r="CQ36">
        <v>83.88508903916852</v>
      </c>
      <c r="CR36">
        <v>83.650398174418029</v>
      </c>
      <c r="CS36">
        <v>83.397197551299712</v>
      </c>
      <c r="CT36">
        <v>83.123238057546075</v>
      </c>
      <c r="CU36">
        <v>82.825896649225754</v>
      </c>
      <c r="CV36">
        <v>82.502096739117945</v>
      </c>
      <c r="CX36">
        <v>74.88553680749375</v>
      </c>
      <c r="CY36">
        <v>76.130567596785468</v>
      </c>
      <c r="CZ36">
        <v>77.190334097219477</v>
      </c>
      <c r="DA36">
        <v>78.102533441199725</v>
      </c>
      <c r="DB36">
        <v>78.895472849923692</v>
      </c>
      <c r="DC36">
        <v>79.590768574511273</v>
      </c>
      <c r="DD36">
        <v>80.205181946942872</v>
      </c>
      <c r="DE36">
        <v>80.751891735891988</v>
      </c>
      <c r="DF36">
        <v>81.241391614118371</v>
      </c>
      <c r="DH36">
        <v>75.337848302174336</v>
      </c>
      <c r="DI36">
        <v>76.482500707367294</v>
      </c>
      <c r="DJ36">
        <v>77.469132130509294</v>
      </c>
      <c r="DK36">
        <v>78.326901515001893</v>
      </c>
      <c r="DL36">
        <v>79.078561778814617</v>
      </c>
      <c r="DM36">
        <v>79.74202267838271</v>
      </c>
      <c r="DN36">
        <v>80.331514322868145</v>
      </c>
      <c r="DO36">
        <v>80.858450312902136</v>
      </c>
      <c r="DP36">
        <v>81.332069782892376</v>
      </c>
      <c r="DR36">
        <v>25.772653472692422</v>
      </c>
      <c r="DS36">
        <v>34.662533883144853</v>
      </c>
      <c r="DT36">
        <v>44.536009445364563</v>
      </c>
      <c r="DU36">
        <v>52.538460979868461</v>
      </c>
      <c r="DV36">
        <v>58.596293873515215</v>
      </c>
      <c r="DW36">
        <v>63.167750138058103</v>
      </c>
      <c r="DX36">
        <v>66.674016222475174</v>
      </c>
      <c r="DY36">
        <v>69.420091081261575</v>
      </c>
      <c r="DZ36">
        <v>71.615573157720036</v>
      </c>
      <c r="EB36">
        <v>46.789032669782969</v>
      </c>
      <c r="EC36">
        <v>49.574466841299973</v>
      </c>
      <c r="ED36">
        <v>53.809330425403736</v>
      </c>
      <c r="EE36">
        <v>58.20931111603339</v>
      </c>
      <c r="EF36">
        <v>62.153137800613962</v>
      </c>
      <c r="EG36">
        <v>65.4846592814351</v>
      </c>
      <c r="EH36">
        <v>68.242908363853886</v>
      </c>
      <c r="EI36">
        <v>70.521037651693504</v>
      </c>
      <c r="EJ36">
        <v>72.41286662826262</v>
      </c>
      <c r="EL36">
        <v>73.40411254987491</v>
      </c>
      <c r="EM36">
        <v>71.615573157720036</v>
      </c>
      <c r="EN36">
        <v>69.420091081261575</v>
      </c>
      <c r="EO36">
        <v>66.674016222475174</v>
      </c>
      <c r="EP36">
        <v>63.167750138058103</v>
      </c>
      <c r="EQ36">
        <v>58.596293873515215</v>
      </c>
      <c r="ER36">
        <v>52.538460979868461</v>
      </c>
      <c r="ES36">
        <v>44.536009445364563</v>
      </c>
      <c r="ET36">
        <v>34.662533883144853</v>
      </c>
      <c r="EV36">
        <v>73.99754384840837</v>
      </c>
      <c r="EW36">
        <v>72.41286662826262</v>
      </c>
      <c r="EX36">
        <v>70.521037651693504</v>
      </c>
      <c r="EY36">
        <v>68.242908363853886</v>
      </c>
      <c r="EZ36">
        <v>65.4846592814351</v>
      </c>
      <c r="FA36">
        <v>62.153137800613962</v>
      </c>
      <c r="FB36">
        <v>58.20931111603339</v>
      </c>
      <c r="FC36">
        <v>53.809330425403736</v>
      </c>
      <c r="FD36">
        <v>49.574466841299973</v>
      </c>
      <c r="FF36">
        <v>81.682133819864788</v>
      </c>
      <c r="FG36">
        <v>81.241391614118371</v>
      </c>
      <c r="FH36">
        <v>80.751891735891988</v>
      </c>
      <c r="FI36">
        <v>80.205181946942872</v>
      </c>
      <c r="FJ36">
        <v>79.590768574511273</v>
      </c>
      <c r="FK36">
        <v>78.895472849923692</v>
      </c>
      <c r="FL36">
        <v>78.102533441199725</v>
      </c>
      <c r="FM36">
        <v>77.190334097219477</v>
      </c>
      <c r="FN36">
        <v>76.130567596785468</v>
      </c>
      <c r="FP36">
        <v>81.759917837050097</v>
      </c>
      <c r="FQ36">
        <v>81.332069782892376</v>
      </c>
      <c r="FR36">
        <v>80.858450312902136</v>
      </c>
      <c r="FS36">
        <v>80.331514322868145</v>
      </c>
      <c r="FT36">
        <v>79.74202267838271</v>
      </c>
      <c r="FU36">
        <v>79.078561778814617</v>
      </c>
      <c r="FV36">
        <v>78.326901515001893</v>
      </c>
      <c r="FW36">
        <v>77.469132130509294</v>
      </c>
      <c r="FX36">
        <v>76.482500707367294</v>
      </c>
      <c r="FZ36">
        <v>84.473240307049508</v>
      </c>
      <c r="GA36">
        <v>84.280967555379164</v>
      </c>
      <c r="GB36">
        <v>84.074899159274267</v>
      </c>
      <c r="GC36">
        <v>83.853502914618986</v>
      </c>
      <c r="GD36">
        <v>83.615012307447813</v>
      </c>
      <c r="GE36">
        <v>83.357380231544639</v>
      </c>
      <c r="GF36">
        <v>83.078221363532322</v>
      </c>
      <c r="GG36">
        <v>82.774739840991515</v>
      </c>
      <c r="GH36">
        <v>82.443637716154555</v>
      </c>
      <c r="GJ36">
        <v>84.496236940561161</v>
      </c>
      <c r="GK36">
        <v>84.306437558450696</v>
      </c>
      <c r="GL36">
        <v>84.103208941148267</v>
      </c>
      <c r="GM36">
        <v>83.88508903916852</v>
      </c>
      <c r="GN36">
        <v>83.650398174418029</v>
      </c>
      <c r="GO36">
        <v>83.397197551299712</v>
      </c>
      <c r="GP36">
        <v>83.123238057546075</v>
      </c>
      <c r="GQ36">
        <v>82.825896649225754</v>
      </c>
      <c r="GR36">
        <v>82.502096739117945</v>
      </c>
      <c r="GS36">
        <v>82.148207811279988</v>
      </c>
    </row>
    <row r="37" spans="2:201">
      <c r="B37">
        <v>74.811343555889422</v>
      </c>
      <c r="C37">
        <v>76.073312550308358</v>
      </c>
      <c r="D37">
        <v>77.145270354889462</v>
      </c>
      <c r="E37">
        <v>78.066455386009139</v>
      </c>
      <c r="F37">
        <v>78.866156375370721</v>
      </c>
      <c r="G37">
        <v>79.566633469030293</v>
      </c>
      <c r="H37">
        <v>80.185081662424309</v>
      </c>
      <c r="I37">
        <v>80.734978703768505</v>
      </c>
      <c r="J37">
        <v>81.227028740688951</v>
      </c>
      <c r="L37">
        <v>75.15188234629926</v>
      </c>
      <c r="M37">
        <v>76.337206185558401</v>
      </c>
      <c r="N37">
        <v>77.35365619530441</v>
      </c>
      <c r="O37">
        <v>78.233727709218201</v>
      </c>
      <c r="P37">
        <v>79.002369074697143</v>
      </c>
      <c r="Q37">
        <v>79.678968483970976</v>
      </c>
      <c r="R37">
        <v>80.278773125375764</v>
      </c>
      <c r="S37">
        <v>80.813910137322353</v>
      </c>
      <c r="T37">
        <v>81.29412830752581</v>
      </c>
      <c r="V37">
        <v>16.970296539403275</v>
      </c>
      <c r="W37">
        <v>30.177366030617918</v>
      </c>
      <c r="X37">
        <v>42.302624878481225</v>
      </c>
      <c r="Y37">
        <v>51.345780337700916</v>
      </c>
      <c r="Z37">
        <v>57.90940183466796</v>
      </c>
      <c r="AA37">
        <v>62.744544446154045</v>
      </c>
      <c r="AB37">
        <v>66.398029827964606</v>
      </c>
      <c r="AC37">
        <v>69.23145071853078</v>
      </c>
      <c r="AD37">
        <v>71.481526863846696</v>
      </c>
      <c r="AF37">
        <v>40.952351591593704</v>
      </c>
      <c r="AG37">
        <v>44.973117396971325</v>
      </c>
      <c r="AH37">
        <v>50.656886529398676</v>
      </c>
      <c r="AI37">
        <v>56.15086812484487</v>
      </c>
      <c r="AJ37">
        <v>60.805976083228174</v>
      </c>
      <c r="AK37">
        <v>64.58223577572241</v>
      </c>
      <c r="AL37">
        <v>67.62014850489652</v>
      </c>
      <c r="AM37">
        <v>70.078201795535321</v>
      </c>
      <c r="AN37">
        <v>72.089098587328323</v>
      </c>
      <c r="AP37">
        <v>73.305730782725433</v>
      </c>
      <c r="AQ37">
        <v>71.481526863846696</v>
      </c>
      <c r="AR37">
        <v>69.23145071853078</v>
      </c>
      <c r="AS37">
        <v>66.398029827964606</v>
      </c>
      <c r="AT37">
        <v>62.744544446154045</v>
      </c>
      <c r="AU37">
        <v>57.90940183466796</v>
      </c>
      <c r="AV37">
        <v>51.345780337700916</v>
      </c>
      <c r="AW37">
        <v>42.302624878481225</v>
      </c>
      <c r="AX37">
        <v>30.177366030617918</v>
      </c>
      <c r="AZ37">
        <v>73.754856248318845</v>
      </c>
      <c r="BA37">
        <v>72.089098587328323</v>
      </c>
      <c r="BB37">
        <v>70.078201795535321</v>
      </c>
      <c r="BC37">
        <v>67.62014850489652</v>
      </c>
      <c r="BD37">
        <v>64.58223577572241</v>
      </c>
      <c r="BE37">
        <v>60.805976083228174</v>
      </c>
      <c r="BF37">
        <v>56.15086812484487</v>
      </c>
      <c r="BG37">
        <v>50.656886529398676</v>
      </c>
      <c r="BH37">
        <v>44.973117396971325</v>
      </c>
      <c r="BJ37">
        <v>81.669834985790729</v>
      </c>
      <c r="BK37">
        <v>81.227028740688951</v>
      </c>
      <c r="BL37">
        <v>80.734978703768505</v>
      </c>
      <c r="BM37">
        <v>80.185081662424309</v>
      </c>
      <c r="BN37">
        <v>79.566633469030293</v>
      </c>
      <c r="BO37">
        <v>78.866156375370721</v>
      </c>
      <c r="BP37">
        <v>78.066455386009139</v>
      </c>
      <c r="BQ37">
        <v>77.145270354889462</v>
      </c>
      <c r="BR37">
        <v>76.073312550308358</v>
      </c>
      <c r="BT37">
        <v>81.727342800331087</v>
      </c>
      <c r="BU37">
        <v>81.29412830752581</v>
      </c>
      <c r="BV37">
        <v>80.813910137322353</v>
      </c>
      <c r="BW37">
        <v>80.278773125375764</v>
      </c>
      <c r="BX37">
        <v>79.678968483970976</v>
      </c>
      <c r="BY37">
        <v>79.002369074697143</v>
      </c>
      <c r="BZ37">
        <v>78.233727709218201</v>
      </c>
      <c r="CA37">
        <v>77.35365619530441</v>
      </c>
      <c r="CB37">
        <v>76.337206185558401</v>
      </c>
      <c r="CD37">
        <v>84.469637080325882</v>
      </c>
      <c r="CE37">
        <v>84.276974751587105</v>
      </c>
      <c r="CF37">
        <v>84.070458664710429</v>
      </c>
      <c r="CG37">
        <v>83.848545390332717</v>
      </c>
      <c r="CH37">
        <v>83.609454490747083</v>
      </c>
      <c r="CI37">
        <v>83.35112145162536</v>
      </c>
      <c r="CJ37">
        <v>83.071138999272094</v>
      </c>
      <c r="CK37">
        <v>82.766683338712284</v>
      </c>
      <c r="CL37">
        <v>82.434420623156143</v>
      </c>
      <c r="CN37">
        <v>84.486562319838669</v>
      </c>
      <c r="CO37">
        <v>84.29572513367205</v>
      </c>
      <c r="CP37">
        <v>84.091305506258081</v>
      </c>
      <c r="CQ37">
        <v>83.871812185336111</v>
      </c>
      <c r="CR37">
        <v>83.635529385002712</v>
      </c>
      <c r="CS37">
        <v>83.380473326245479</v>
      </c>
      <c r="CT37">
        <v>83.104338401850043</v>
      </c>
      <c r="CU37">
        <v>82.804429998317161</v>
      </c>
      <c r="CV37">
        <v>82.47758001354525</v>
      </c>
      <c r="CX37">
        <v>74.811343555889422</v>
      </c>
      <c r="CY37">
        <v>76.073312550308358</v>
      </c>
      <c r="CZ37">
        <v>77.145270354889462</v>
      </c>
      <c r="DA37">
        <v>78.066455386009139</v>
      </c>
      <c r="DB37">
        <v>78.866156375370721</v>
      </c>
      <c r="DC37">
        <v>79.566633469030293</v>
      </c>
      <c r="DD37">
        <v>80.185081662424309</v>
      </c>
      <c r="DE37">
        <v>80.734978703768505</v>
      </c>
      <c r="DF37">
        <v>81.227028740688951</v>
      </c>
      <c r="DH37">
        <v>75.15188234629926</v>
      </c>
      <c r="DI37">
        <v>76.337206185558401</v>
      </c>
      <c r="DJ37">
        <v>77.35365619530441</v>
      </c>
      <c r="DK37">
        <v>78.233727709218201</v>
      </c>
      <c r="DL37">
        <v>79.002369074697143</v>
      </c>
      <c r="DM37">
        <v>79.678968483970976</v>
      </c>
      <c r="DN37">
        <v>80.278773125375764</v>
      </c>
      <c r="DO37">
        <v>80.813910137322353</v>
      </c>
      <c r="DP37">
        <v>81.29412830752581</v>
      </c>
      <c r="DR37">
        <v>16.970296539403275</v>
      </c>
      <c r="DS37">
        <v>30.177366030617918</v>
      </c>
      <c r="DT37">
        <v>42.302624878481225</v>
      </c>
      <c r="DU37">
        <v>51.345780337700916</v>
      </c>
      <c r="DV37">
        <v>57.90940183466796</v>
      </c>
      <c r="DW37">
        <v>62.744544446154045</v>
      </c>
      <c r="DX37">
        <v>66.398029827964606</v>
      </c>
      <c r="DY37">
        <v>69.23145071853078</v>
      </c>
      <c r="DZ37">
        <v>71.481526863846696</v>
      </c>
      <c r="EB37">
        <v>40.952351591593704</v>
      </c>
      <c r="EC37">
        <v>44.973117396971325</v>
      </c>
      <c r="ED37">
        <v>50.656886529398676</v>
      </c>
      <c r="EE37">
        <v>56.15086812484487</v>
      </c>
      <c r="EF37">
        <v>60.805976083228174</v>
      </c>
      <c r="EG37">
        <v>64.58223577572241</v>
      </c>
      <c r="EH37">
        <v>67.62014850489652</v>
      </c>
      <c r="EI37">
        <v>70.078201795535321</v>
      </c>
      <c r="EJ37">
        <v>72.089098587328323</v>
      </c>
      <c r="EL37">
        <v>73.305730782725433</v>
      </c>
      <c r="EM37">
        <v>71.481526863846696</v>
      </c>
      <c r="EN37">
        <v>69.23145071853078</v>
      </c>
      <c r="EO37">
        <v>66.398029827964606</v>
      </c>
      <c r="EP37">
        <v>62.744544446154045</v>
      </c>
      <c r="EQ37">
        <v>57.90940183466796</v>
      </c>
      <c r="ER37">
        <v>51.345780337700916</v>
      </c>
      <c r="ES37">
        <v>42.302624878481225</v>
      </c>
      <c r="ET37">
        <v>30.177366030617918</v>
      </c>
      <c r="EV37">
        <v>73.754856248318845</v>
      </c>
      <c r="EW37">
        <v>72.089098587328323</v>
      </c>
      <c r="EX37">
        <v>70.078201795535321</v>
      </c>
      <c r="EY37">
        <v>67.62014850489652</v>
      </c>
      <c r="EZ37">
        <v>64.58223577572241</v>
      </c>
      <c r="FA37">
        <v>60.805976083228174</v>
      </c>
      <c r="FB37">
        <v>56.15086812484487</v>
      </c>
      <c r="FC37">
        <v>50.656886529398676</v>
      </c>
      <c r="FD37">
        <v>44.973117396971325</v>
      </c>
      <c r="FF37">
        <v>81.669834985790729</v>
      </c>
      <c r="FG37">
        <v>81.227028740688951</v>
      </c>
      <c r="FH37">
        <v>80.734978703768505</v>
      </c>
      <c r="FI37">
        <v>80.185081662424309</v>
      </c>
      <c r="FJ37">
        <v>79.566633469030293</v>
      </c>
      <c r="FK37">
        <v>78.866156375370721</v>
      </c>
      <c r="FL37">
        <v>78.066455386009139</v>
      </c>
      <c r="FM37">
        <v>77.145270354889462</v>
      </c>
      <c r="FN37">
        <v>76.073312550308358</v>
      </c>
      <c r="FP37">
        <v>81.727342800331087</v>
      </c>
      <c r="FQ37">
        <v>81.29412830752581</v>
      </c>
      <c r="FR37">
        <v>80.813910137322353</v>
      </c>
      <c r="FS37">
        <v>80.278773125375764</v>
      </c>
      <c r="FT37">
        <v>79.678968483970976</v>
      </c>
      <c r="FU37">
        <v>79.002369074697143</v>
      </c>
      <c r="FV37">
        <v>78.233727709218201</v>
      </c>
      <c r="FW37">
        <v>77.35365619530441</v>
      </c>
      <c r="FX37">
        <v>76.337206185558401</v>
      </c>
      <c r="FZ37">
        <v>84.469637080325882</v>
      </c>
      <c r="GA37">
        <v>84.276974751587105</v>
      </c>
      <c r="GB37">
        <v>84.070458664710429</v>
      </c>
      <c r="GC37">
        <v>83.848545390332717</v>
      </c>
      <c r="GD37">
        <v>83.609454490747083</v>
      </c>
      <c r="GE37">
        <v>83.35112145162536</v>
      </c>
      <c r="GF37">
        <v>83.071138999272094</v>
      </c>
      <c r="GG37">
        <v>82.766683338712284</v>
      </c>
      <c r="GH37">
        <v>82.434420623156143</v>
      </c>
      <c r="GJ37">
        <v>84.486562319838669</v>
      </c>
      <c r="GK37">
        <v>84.29572513367205</v>
      </c>
      <c r="GL37">
        <v>84.091305506258081</v>
      </c>
      <c r="GM37">
        <v>83.871812185336111</v>
      </c>
      <c r="GN37">
        <v>83.635529385002712</v>
      </c>
      <c r="GO37">
        <v>83.380473326245479</v>
      </c>
      <c r="GP37">
        <v>83.104338401850043</v>
      </c>
      <c r="GQ37">
        <v>82.804429998317161</v>
      </c>
      <c r="GR37">
        <v>82.47758001354525</v>
      </c>
      <c r="GS37">
        <v>82.120039732734014</v>
      </c>
    </row>
    <row r="38" spans="2:201">
      <c r="B38">
        <v>74.779210099476998</v>
      </c>
      <c r="C38">
        <v>76.048556597877322</v>
      </c>
      <c r="D38">
        <v>77.125811159573161</v>
      </c>
      <c r="E38">
        <v>78.050892552183086</v>
      </c>
      <c r="F38">
        <v>78.853520886884709</v>
      </c>
      <c r="G38">
        <v>79.556238330059685</v>
      </c>
      <c r="H38">
        <v>80.176429288944689</v>
      </c>
      <c r="I38">
        <v>80.727701799386267</v>
      </c>
      <c r="J38">
        <v>81.220851554837992</v>
      </c>
      <c r="L38">
        <v>74.999959773323056</v>
      </c>
      <c r="M38">
        <v>76.219129753593151</v>
      </c>
      <c r="N38">
        <v>77.260200612199412</v>
      </c>
      <c r="O38">
        <v>78.158572149894056</v>
      </c>
      <c r="P38">
        <v>78.941077260335803</v>
      </c>
      <c r="Q38">
        <v>79.628359027754726</v>
      </c>
      <c r="R38">
        <v>80.236520084137325</v>
      </c>
      <c r="S38">
        <v>80.778283213605903</v>
      </c>
      <c r="T38">
        <v>81.2638199955815</v>
      </c>
      <c r="V38">
        <v>10.315082561193284</v>
      </c>
      <c r="W38">
        <v>27.806069555844168</v>
      </c>
      <c r="X38">
        <v>41.23221278344419</v>
      </c>
      <c r="Y38">
        <v>50.797684687577274</v>
      </c>
      <c r="Z38">
        <v>57.600749965522155</v>
      </c>
      <c r="AA38">
        <v>62.556905302780194</v>
      </c>
      <c r="AB38">
        <v>66.276704930931317</v>
      </c>
      <c r="AC38">
        <v>69.148998836084942</v>
      </c>
      <c r="AD38">
        <v>71.423173028283941</v>
      </c>
      <c r="AF38">
        <v>33.946295027753955</v>
      </c>
      <c r="AG38">
        <v>39.880063941863064</v>
      </c>
      <c r="AH38">
        <v>47.466059280396827</v>
      </c>
      <c r="AI38">
        <v>54.204579854833938</v>
      </c>
      <c r="AJ38">
        <v>59.591153351587124</v>
      </c>
      <c r="AK38">
        <v>63.794531170745181</v>
      </c>
      <c r="AL38">
        <v>67.088752611716941</v>
      </c>
      <c r="AM38">
        <v>69.706396146123353</v>
      </c>
      <c r="AN38">
        <v>71.820453567351166</v>
      </c>
      <c r="AP38">
        <v>73.263027853830792</v>
      </c>
      <c r="AQ38">
        <v>71.423173028283941</v>
      </c>
      <c r="AR38">
        <v>69.148998836084942</v>
      </c>
      <c r="AS38">
        <v>66.276704930931317</v>
      </c>
      <c r="AT38">
        <v>62.556905302780194</v>
      </c>
      <c r="AU38">
        <v>57.600749965522155</v>
      </c>
      <c r="AV38">
        <v>50.797684687577274</v>
      </c>
      <c r="AW38">
        <v>41.23221278344419</v>
      </c>
      <c r="AX38">
        <v>27.806069555844168</v>
      </c>
      <c r="AZ38">
        <v>73.555256161392734</v>
      </c>
      <c r="BA38">
        <v>71.820453567351166</v>
      </c>
      <c r="BB38">
        <v>69.706396146123353</v>
      </c>
      <c r="BC38">
        <v>67.088752611716941</v>
      </c>
      <c r="BD38">
        <v>63.794531170745181</v>
      </c>
      <c r="BE38">
        <v>59.591153351587124</v>
      </c>
      <c r="BF38">
        <v>54.204579854833938</v>
      </c>
      <c r="BG38">
        <v>47.466059280396827</v>
      </c>
      <c r="BH38">
        <v>39.880063941863064</v>
      </c>
      <c r="BJ38">
        <v>81.66454732970891</v>
      </c>
      <c r="BK38">
        <v>81.220851554837992</v>
      </c>
      <c r="BL38">
        <v>80.727701799386267</v>
      </c>
      <c r="BM38">
        <v>80.176429288944689</v>
      </c>
      <c r="BN38">
        <v>79.556238330059685</v>
      </c>
      <c r="BO38">
        <v>78.853520886884709</v>
      </c>
      <c r="BP38">
        <v>78.050892552183086</v>
      </c>
      <c r="BQ38">
        <v>77.125811159573161</v>
      </c>
      <c r="BR38">
        <v>76.048556597877322</v>
      </c>
      <c r="BT38">
        <v>81.701350971045926</v>
      </c>
      <c r="BU38">
        <v>81.2638199955815</v>
      </c>
      <c r="BV38">
        <v>80.778283213605903</v>
      </c>
      <c r="BW38">
        <v>80.236520084137325</v>
      </c>
      <c r="BX38">
        <v>79.628359027754726</v>
      </c>
      <c r="BY38">
        <v>78.941077260335803</v>
      </c>
      <c r="BZ38">
        <v>78.158572149894056</v>
      </c>
      <c r="CA38">
        <v>77.260200612199412</v>
      </c>
      <c r="CB38">
        <v>76.219129753593151</v>
      </c>
      <c r="CD38">
        <v>84.468090681418388</v>
      </c>
      <c r="CE38">
        <v>84.275260988007318</v>
      </c>
      <c r="CF38">
        <v>84.068552536967644</v>
      </c>
      <c r="CG38">
        <v>83.846417061784649</v>
      </c>
      <c r="CH38">
        <v>83.607068122304952</v>
      </c>
      <c r="CI38">
        <v>83.348433696212822</v>
      </c>
      <c r="CJ38">
        <v>83.06809703792436</v>
      </c>
      <c r="CK38">
        <v>82.763222292145585</v>
      </c>
      <c r="CL38">
        <v>82.430460101913354</v>
      </c>
      <c r="CN38">
        <v>84.47888831817022</v>
      </c>
      <c r="CO38">
        <v>84.287225111298014</v>
      </c>
      <c r="CP38">
        <v>84.081856967670305</v>
      </c>
      <c r="CQ38">
        <v>83.861269150568532</v>
      </c>
      <c r="CR38">
        <v>83.623716796507381</v>
      </c>
      <c r="CS38">
        <v>83.367179845392414</v>
      </c>
      <c r="CT38">
        <v>83.089307045422316</v>
      </c>
      <c r="CU38">
        <v>82.787345846262937</v>
      </c>
      <c r="CV38">
        <v>82.458053899277147</v>
      </c>
      <c r="CX38">
        <v>74.779210099476998</v>
      </c>
      <c r="CY38">
        <v>76.048556597877322</v>
      </c>
      <c r="CZ38">
        <v>77.125811159573161</v>
      </c>
      <c r="DA38">
        <v>78.050892552183086</v>
      </c>
      <c r="DB38">
        <v>78.853520886884709</v>
      </c>
      <c r="DC38">
        <v>79.556238330059685</v>
      </c>
      <c r="DD38">
        <v>80.176429288944689</v>
      </c>
      <c r="DE38">
        <v>80.727701799386267</v>
      </c>
      <c r="DF38">
        <v>81.220851554837992</v>
      </c>
      <c r="DH38">
        <v>74.999959773323056</v>
      </c>
      <c r="DI38">
        <v>76.219129753593151</v>
      </c>
      <c r="DJ38">
        <v>77.260200612199412</v>
      </c>
      <c r="DK38">
        <v>78.158572149894056</v>
      </c>
      <c r="DL38">
        <v>78.941077260335803</v>
      </c>
      <c r="DM38">
        <v>79.628359027754726</v>
      </c>
      <c r="DN38">
        <v>80.236520084137325</v>
      </c>
      <c r="DO38">
        <v>80.778283213605903</v>
      </c>
      <c r="DP38">
        <v>81.2638199955815</v>
      </c>
      <c r="DR38">
        <v>10.315082561193284</v>
      </c>
      <c r="DS38">
        <v>27.806069555844168</v>
      </c>
      <c r="DT38">
        <v>41.23221278344419</v>
      </c>
      <c r="DU38">
        <v>50.797684687577274</v>
      </c>
      <c r="DV38">
        <v>57.600749965522155</v>
      </c>
      <c r="DW38">
        <v>62.556905302780194</v>
      </c>
      <c r="DX38">
        <v>66.276704930931317</v>
      </c>
      <c r="DY38">
        <v>69.148998836084942</v>
      </c>
      <c r="DZ38">
        <v>71.423173028283941</v>
      </c>
      <c r="EB38">
        <v>33.946295027753955</v>
      </c>
      <c r="EC38">
        <v>39.880063941863064</v>
      </c>
      <c r="ED38">
        <v>47.466059280396827</v>
      </c>
      <c r="EE38">
        <v>54.204579854833938</v>
      </c>
      <c r="EF38">
        <v>59.591153351587124</v>
      </c>
      <c r="EG38">
        <v>63.794531170745181</v>
      </c>
      <c r="EH38">
        <v>67.088752611716941</v>
      </c>
      <c r="EI38">
        <v>69.706396146123353</v>
      </c>
      <c r="EJ38">
        <v>71.820453567351166</v>
      </c>
      <c r="EL38">
        <v>73.263027853830792</v>
      </c>
      <c r="EM38">
        <v>71.423173028283941</v>
      </c>
      <c r="EN38">
        <v>69.148998836084942</v>
      </c>
      <c r="EO38">
        <v>66.276704930931317</v>
      </c>
      <c r="EP38">
        <v>62.556905302780194</v>
      </c>
      <c r="EQ38">
        <v>57.600749965522155</v>
      </c>
      <c r="ER38">
        <v>50.797684687577274</v>
      </c>
      <c r="ES38">
        <v>41.23221278344419</v>
      </c>
      <c r="ET38">
        <v>27.806069555844168</v>
      </c>
      <c r="EV38">
        <v>73.555256161392734</v>
      </c>
      <c r="EW38">
        <v>71.820453567351166</v>
      </c>
      <c r="EX38">
        <v>69.706396146123353</v>
      </c>
      <c r="EY38">
        <v>67.088752611716941</v>
      </c>
      <c r="EZ38">
        <v>63.794531170745181</v>
      </c>
      <c r="FA38">
        <v>59.591153351587124</v>
      </c>
      <c r="FB38">
        <v>54.204579854833938</v>
      </c>
      <c r="FC38">
        <v>47.466059280396827</v>
      </c>
      <c r="FD38">
        <v>39.880063941863064</v>
      </c>
      <c r="FF38">
        <v>81.66454732970891</v>
      </c>
      <c r="FG38">
        <v>81.220851554837992</v>
      </c>
      <c r="FH38">
        <v>80.727701799386267</v>
      </c>
      <c r="FI38">
        <v>80.176429288944689</v>
      </c>
      <c r="FJ38">
        <v>79.556238330059685</v>
      </c>
      <c r="FK38">
        <v>78.853520886884709</v>
      </c>
      <c r="FL38">
        <v>78.050892552183086</v>
      </c>
      <c r="FM38">
        <v>77.125811159573161</v>
      </c>
      <c r="FN38">
        <v>76.048556597877322</v>
      </c>
      <c r="FP38">
        <v>81.701350971045926</v>
      </c>
      <c r="FQ38">
        <v>81.2638199955815</v>
      </c>
      <c r="FR38">
        <v>80.778283213605903</v>
      </c>
      <c r="FS38">
        <v>80.236520084137325</v>
      </c>
      <c r="FT38">
        <v>79.628359027754726</v>
      </c>
      <c r="FU38">
        <v>78.941077260335803</v>
      </c>
      <c r="FV38">
        <v>78.158572149894056</v>
      </c>
      <c r="FW38">
        <v>77.260200612199412</v>
      </c>
      <c r="FX38">
        <v>76.219129753593151</v>
      </c>
      <c r="FZ38">
        <v>84.468090681418388</v>
      </c>
      <c r="GA38">
        <v>84.275260988007318</v>
      </c>
      <c r="GB38">
        <v>84.068552536967644</v>
      </c>
      <c r="GC38">
        <v>83.846417061784649</v>
      </c>
      <c r="GD38">
        <v>83.607068122304952</v>
      </c>
      <c r="GE38">
        <v>83.348433696212822</v>
      </c>
      <c r="GF38">
        <v>83.06809703792436</v>
      </c>
      <c r="GG38">
        <v>82.763222292145585</v>
      </c>
      <c r="GH38">
        <v>82.430460101913354</v>
      </c>
      <c r="GJ38">
        <v>84.47888831817022</v>
      </c>
      <c r="GK38">
        <v>84.287225111298014</v>
      </c>
      <c r="GL38">
        <v>84.081856967670305</v>
      </c>
      <c r="GM38">
        <v>83.861269150568532</v>
      </c>
      <c r="GN38">
        <v>83.623716796507381</v>
      </c>
      <c r="GO38">
        <v>83.367179845392414</v>
      </c>
      <c r="GP38">
        <v>83.089307045422316</v>
      </c>
      <c r="GQ38">
        <v>82.787345846262937</v>
      </c>
      <c r="GR38">
        <v>82.458053899277147</v>
      </c>
      <c r="GS38">
        <v>82.097586353312963</v>
      </c>
    </row>
    <row r="39" spans="2:201">
      <c r="B39">
        <v>74.789943912043057</v>
      </c>
      <c r="C39">
        <v>76.056823249576297</v>
      </c>
      <c r="D39">
        <v>77.132307375941878</v>
      </c>
      <c r="E39">
        <v>78.056086927949337</v>
      </c>
      <c r="F39">
        <v>78.857737495680368</v>
      </c>
      <c r="G39">
        <v>79.559706828312642</v>
      </c>
      <c r="H39">
        <v>80.179315955646828</v>
      </c>
      <c r="I39">
        <v>80.730129339099761</v>
      </c>
      <c r="J39">
        <v>81.222912066450775</v>
      </c>
      <c r="L39">
        <v>74.88553680749375</v>
      </c>
      <c r="M39">
        <v>76.130567596785468</v>
      </c>
      <c r="N39">
        <v>77.190334097219477</v>
      </c>
      <c r="O39">
        <v>78.102533441199725</v>
      </c>
      <c r="P39">
        <v>78.895472849923692</v>
      </c>
      <c r="Q39">
        <v>79.590768574511273</v>
      </c>
      <c r="R39">
        <v>80.205181946942872</v>
      </c>
      <c r="S39">
        <v>80.751891735891988</v>
      </c>
      <c r="T39">
        <v>81.241391614118371</v>
      </c>
      <c r="V39">
        <v>12.979350497927722</v>
      </c>
      <c r="W39">
        <v>28.63490403452203</v>
      </c>
      <c r="X39">
        <v>41.597516791214169</v>
      </c>
      <c r="Y39">
        <v>50.983028334975728</v>
      </c>
      <c r="Z39">
        <v>57.704631742407365</v>
      </c>
      <c r="AA39">
        <v>62.619883852030583</v>
      </c>
      <c r="AB39">
        <v>66.317354799349502</v>
      </c>
      <c r="AC39">
        <v>69.17659199301967</v>
      </c>
      <c r="AD39">
        <v>71.442685620060914</v>
      </c>
      <c r="AF39">
        <v>25.772653472692422</v>
      </c>
      <c r="AG39">
        <v>34.662533883144853</v>
      </c>
      <c r="AH39">
        <v>44.536009445364563</v>
      </c>
      <c r="AI39">
        <v>52.538460979868461</v>
      </c>
      <c r="AJ39">
        <v>58.596293873515215</v>
      </c>
      <c r="AK39">
        <v>63.167750138058103</v>
      </c>
      <c r="AL39">
        <v>66.674016222475174</v>
      </c>
      <c r="AM39">
        <v>69.420091081261575</v>
      </c>
      <c r="AN39">
        <v>71.615573157720036</v>
      </c>
      <c r="AP39">
        <v>73.277298577697493</v>
      </c>
      <c r="AQ39">
        <v>71.442685620060914</v>
      </c>
      <c r="AR39">
        <v>69.17659199301967</v>
      </c>
      <c r="AS39">
        <v>66.317354799349502</v>
      </c>
      <c r="AT39">
        <v>62.619883852030583</v>
      </c>
      <c r="AU39">
        <v>57.704631742407365</v>
      </c>
      <c r="AV39">
        <v>50.983028334975728</v>
      </c>
      <c r="AW39">
        <v>41.597516791214169</v>
      </c>
      <c r="AX39">
        <v>28.63490403452203</v>
      </c>
      <c r="AZ39">
        <v>73.40411254987491</v>
      </c>
      <c r="BA39">
        <v>71.615573157720036</v>
      </c>
      <c r="BB39">
        <v>69.420091081261575</v>
      </c>
      <c r="BC39">
        <v>66.674016222475174</v>
      </c>
      <c r="BD39">
        <v>63.167750138058103</v>
      </c>
      <c r="BE39">
        <v>58.596293873515215</v>
      </c>
      <c r="BF39">
        <v>52.538460979868461</v>
      </c>
      <c r="BG39">
        <v>44.536009445364563</v>
      </c>
      <c r="BH39">
        <v>34.662533883144853</v>
      </c>
      <c r="BJ39">
        <v>81.666311000420905</v>
      </c>
      <c r="BK39">
        <v>81.222912066450775</v>
      </c>
      <c r="BL39">
        <v>80.730129339099761</v>
      </c>
      <c r="BM39">
        <v>80.179315955646828</v>
      </c>
      <c r="BN39">
        <v>79.559706828312642</v>
      </c>
      <c r="BO39">
        <v>78.857737495680368</v>
      </c>
      <c r="BP39">
        <v>78.056086927949337</v>
      </c>
      <c r="BQ39">
        <v>77.132307375941878</v>
      </c>
      <c r="BR39">
        <v>76.056823249576297</v>
      </c>
      <c r="BT39">
        <v>81.682133819864788</v>
      </c>
      <c r="BU39">
        <v>81.241391614118371</v>
      </c>
      <c r="BV39">
        <v>80.751891735891988</v>
      </c>
      <c r="BW39">
        <v>80.205181946942872</v>
      </c>
      <c r="BX39">
        <v>79.590768574511273</v>
      </c>
      <c r="BY39">
        <v>78.895472849923692</v>
      </c>
      <c r="BZ39">
        <v>78.102533441199725</v>
      </c>
      <c r="CA39">
        <v>77.190334097219477</v>
      </c>
      <c r="CB39">
        <v>76.130567596785468</v>
      </c>
      <c r="CD39">
        <v>84.468606291847635</v>
      </c>
      <c r="CE39">
        <v>84.275832413586571</v>
      </c>
      <c r="CF39">
        <v>84.069188117119197</v>
      </c>
      <c r="CG39">
        <v>83.84712675007664</v>
      </c>
      <c r="CH39">
        <v>83.60786387547239</v>
      </c>
      <c r="CI39">
        <v>83.349329976824819</v>
      </c>
      <c r="CJ39">
        <v>83.069111470173709</v>
      </c>
      <c r="CK39">
        <v>82.764376526310059</v>
      </c>
      <c r="CL39">
        <v>82.431780966699961</v>
      </c>
      <c r="CN39">
        <v>84.473240307049508</v>
      </c>
      <c r="CO39">
        <v>84.280967555379164</v>
      </c>
      <c r="CP39">
        <v>84.074899159274267</v>
      </c>
      <c r="CQ39">
        <v>83.853502914618986</v>
      </c>
      <c r="CR39">
        <v>83.615012307447813</v>
      </c>
      <c r="CS39">
        <v>83.357380231544639</v>
      </c>
      <c r="CT39">
        <v>83.078221363532322</v>
      </c>
      <c r="CU39">
        <v>82.774739840991515</v>
      </c>
      <c r="CV39">
        <v>82.443637716154555</v>
      </c>
      <c r="CX39">
        <v>74.789943912043057</v>
      </c>
      <c r="CY39">
        <v>76.056823249576297</v>
      </c>
      <c r="CZ39">
        <v>77.132307375941878</v>
      </c>
      <c r="DA39">
        <v>78.056086927949337</v>
      </c>
      <c r="DB39">
        <v>78.857737495680368</v>
      </c>
      <c r="DC39">
        <v>79.559706828312642</v>
      </c>
      <c r="DD39">
        <v>80.179315955646828</v>
      </c>
      <c r="DE39">
        <v>80.730129339099761</v>
      </c>
      <c r="DF39">
        <v>81.222912066450775</v>
      </c>
      <c r="DH39">
        <v>74.88553680749375</v>
      </c>
      <c r="DI39">
        <v>76.130567596785468</v>
      </c>
      <c r="DJ39">
        <v>77.190334097219477</v>
      </c>
      <c r="DK39">
        <v>78.102533441199725</v>
      </c>
      <c r="DL39">
        <v>78.895472849923692</v>
      </c>
      <c r="DM39">
        <v>79.590768574511273</v>
      </c>
      <c r="DN39">
        <v>80.205181946942872</v>
      </c>
      <c r="DO39">
        <v>80.751891735891988</v>
      </c>
      <c r="DP39">
        <v>81.241391614118371</v>
      </c>
      <c r="DR39">
        <v>12.979350497927722</v>
      </c>
      <c r="DS39">
        <v>28.63490403452203</v>
      </c>
      <c r="DT39">
        <v>41.597516791214169</v>
      </c>
      <c r="DU39">
        <v>50.983028334975728</v>
      </c>
      <c r="DV39">
        <v>57.704631742407365</v>
      </c>
      <c r="DW39">
        <v>62.619883852030583</v>
      </c>
      <c r="DX39">
        <v>66.317354799349502</v>
      </c>
      <c r="DY39">
        <v>69.17659199301967</v>
      </c>
      <c r="DZ39">
        <v>71.442685620060914</v>
      </c>
      <c r="EB39">
        <v>25.772653472692422</v>
      </c>
      <c r="EC39">
        <v>34.662533883144853</v>
      </c>
      <c r="ED39">
        <v>44.536009445364563</v>
      </c>
      <c r="EE39">
        <v>52.538460979868461</v>
      </c>
      <c r="EF39">
        <v>58.596293873515215</v>
      </c>
      <c r="EG39">
        <v>63.167750138058103</v>
      </c>
      <c r="EH39">
        <v>66.674016222475174</v>
      </c>
      <c r="EI39">
        <v>69.420091081261575</v>
      </c>
      <c r="EJ39">
        <v>71.615573157720036</v>
      </c>
      <c r="EL39">
        <v>73.277298577697493</v>
      </c>
      <c r="EM39">
        <v>71.442685620060914</v>
      </c>
      <c r="EN39">
        <v>69.17659199301967</v>
      </c>
      <c r="EO39">
        <v>66.317354799349502</v>
      </c>
      <c r="EP39">
        <v>62.619883852030583</v>
      </c>
      <c r="EQ39">
        <v>57.704631742407365</v>
      </c>
      <c r="ER39">
        <v>50.983028334975728</v>
      </c>
      <c r="ES39">
        <v>41.597516791214169</v>
      </c>
      <c r="ET39">
        <v>28.63490403452203</v>
      </c>
      <c r="EV39">
        <v>73.40411254987491</v>
      </c>
      <c r="EW39">
        <v>71.615573157720036</v>
      </c>
      <c r="EX39">
        <v>69.420091081261575</v>
      </c>
      <c r="EY39">
        <v>66.674016222475174</v>
      </c>
      <c r="EZ39">
        <v>63.167750138058103</v>
      </c>
      <c r="FA39">
        <v>58.596293873515215</v>
      </c>
      <c r="FB39">
        <v>52.538460979868461</v>
      </c>
      <c r="FC39">
        <v>44.536009445364563</v>
      </c>
      <c r="FD39">
        <v>34.662533883144853</v>
      </c>
      <c r="FF39">
        <v>81.666311000420905</v>
      </c>
      <c r="FG39">
        <v>81.222912066450775</v>
      </c>
      <c r="FH39">
        <v>80.730129339099761</v>
      </c>
      <c r="FI39">
        <v>80.179315955646828</v>
      </c>
      <c r="FJ39">
        <v>79.559706828312642</v>
      </c>
      <c r="FK39">
        <v>78.857737495680368</v>
      </c>
      <c r="FL39">
        <v>78.056086927949337</v>
      </c>
      <c r="FM39">
        <v>77.132307375941878</v>
      </c>
      <c r="FN39">
        <v>76.056823249576297</v>
      </c>
      <c r="FP39">
        <v>81.682133819864788</v>
      </c>
      <c r="FQ39">
        <v>81.241391614118371</v>
      </c>
      <c r="FR39">
        <v>80.751891735891988</v>
      </c>
      <c r="FS39">
        <v>80.205181946942872</v>
      </c>
      <c r="FT39">
        <v>79.590768574511273</v>
      </c>
      <c r="FU39">
        <v>78.895472849923692</v>
      </c>
      <c r="FV39">
        <v>78.102533441199725</v>
      </c>
      <c r="FW39">
        <v>77.190334097219477</v>
      </c>
      <c r="FX39">
        <v>76.130567596785468</v>
      </c>
      <c r="FZ39">
        <v>84.468606291847635</v>
      </c>
      <c r="GA39">
        <v>84.275832413586571</v>
      </c>
      <c r="GB39">
        <v>84.069188117119197</v>
      </c>
      <c r="GC39">
        <v>83.84712675007664</v>
      </c>
      <c r="GD39">
        <v>83.60786387547239</v>
      </c>
      <c r="GE39">
        <v>83.349329976824819</v>
      </c>
      <c r="GF39">
        <v>83.069111470173709</v>
      </c>
      <c r="GG39">
        <v>82.764376526310059</v>
      </c>
      <c r="GH39">
        <v>82.431780966699961</v>
      </c>
      <c r="GJ39">
        <v>84.473240307049508</v>
      </c>
      <c r="GK39">
        <v>84.280967555379164</v>
      </c>
      <c r="GL39">
        <v>84.074899159274267</v>
      </c>
      <c r="GM39">
        <v>83.853502914618986</v>
      </c>
      <c r="GN39">
        <v>83.615012307447813</v>
      </c>
      <c r="GO39">
        <v>83.357380231544639</v>
      </c>
      <c r="GP39">
        <v>83.078221363532322</v>
      </c>
      <c r="GQ39">
        <v>82.774739840991515</v>
      </c>
      <c r="GR39">
        <v>82.443637716154555</v>
      </c>
      <c r="GS39">
        <v>82.080998007385901</v>
      </c>
    </row>
    <row r="40" spans="2:201">
      <c r="B40">
        <v>74.88553680749375</v>
      </c>
      <c r="C40">
        <v>76.130567596785468</v>
      </c>
      <c r="D40">
        <v>77.190334097219477</v>
      </c>
      <c r="E40">
        <v>78.102533441199725</v>
      </c>
      <c r="F40">
        <v>78.895472849923692</v>
      </c>
      <c r="G40">
        <v>79.590768574511273</v>
      </c>
      <c r="H40">
        <v>80.205181946942872</v>
      </c>
      <c r="I40">
        <v>80.751891735891988</v>
      </c>
      <c r="J40">
        <v>81.241391614118371</v>
      </c>
      <c r="L40">
        <v>74.789943912043057</v>
      </c>
      <c r="M40">
        <v>76.056823249576297</v>
      </c>
      <c r="N40">
        <v>77.132307375941878</v>
      </c>
      <c r="O40">
        <v>78.056086927949337</v>
      </c>
      <c r="P40">
        <v>78.857737495680368</v>
      </c>
      <c r="Q40">
        <v>79.559706828312642</v>
      </c>
      <c r="R40">
        <v>80.179315955646828</v>
      </c>
      <c r="S40">
        <v>80.730129339099761</v>
      </c>
      <c r="T40">
        <v>81.222912066450775</v>
      </c>
      <c r="V40">
        <v>25.772653472692422</v>
      </c>
      <c r="W40">
        <v>34.662533883144853</v>
      </c>
      <c r="X40">
        <v>44.536009445364563</v>
      </c>
      <c r="Y40">
        <v>52.538460979868461</v>
      </c>
      <c r="Z40">
        <v>58.596293873515215</v>
      </c>
      <c r="AA40">
        <v>63.167750138058103</v>
      </c>
      <c r="AB40">
        <v>66.674016222475174</v>
      </c>
      <c r="AC40">
        <v>69.420091081261575</v>
      </c>
      <c r="AD40">
        <v>71.615573157720036</v>
      </c>
      <c r="AF40">
        <v>12.979350497927722</v>
      </c>
      <c r="AG40">
        <v>28.63490403452203</v>
      </c>
      <c r="AH40">
        <v>41.597516791214169</v>
      </c>
      <c r="AI40">
        <v>50.983028334975728</v>
      </c>
      <c r="AJ40">
        <v>57.704631742407365</v>
      </c>
      <c r="AK40">
        <v>62.619883852030583</v>
      </c>
      <c r="AL40">
        <v>66.317354799349502</v>
      </c>
      <c r="AM40">
        <v>69.17659199301967</v>
      </c>
      <c r="AN40">
        <v>71.442685620060914</v>
      </c>
      <c r="AP40">
        <v>73.40411254987491</v>
      </c>
      <c r="AQ40">
        <v>71.615573157720036</v>
      </c>
      <c r="AR40">
        <v>69.420091081261575</v>
      </c>
      <c r="AS40">
        <v>66.674016222475174</v>
      </c>
      <c r="AT40">
        <v>63.167750138058103</v>
      </c>
      <c r="AU40">
        <v>58.596293873515215</v>
      </c>
      <c r="AV40">
        <v>52.538460979868461</v>
      </c>
      <c r="AW40">
        <v>44.536009445364563</v>
      </c>
      <c r="AX40">
        <v>34.662533883144853</v>
      </c>
      <c r="AZ40">
        <v>73.277298577697493</v>
      </c>
      <c r="BA40">
        <v>71.442685620060914</v>
      </c>
      <c r="BB40">
        <v>69.17659199301967</v>
      </c>
      <c r="BC40">
        <v>66.317354799349502</v>
      </c>
      <c r="BD40">
        <v>62.619883852030583</v>
      </c>
      <c r="BE40">
        <v>57.704631742407365</v>
      </c>
      <c r="BF40">
        <v>50.983028334975728</v>
      </c>
      <c r="BG40">
        <v>41.597516791214169</v>
      </c>
      <c r="BH40">
        <v>28.63490403452203</v>
      </c>
      <c r="BJ40">
        <v>81.682133819864788</v>
      </c>
      <c r="BK40">
        <v>81.241391614118371</v>
      </c>
      <c r="BL40">
        <v>80.751891735891988</v>
      </c>
      <c r="BM40">
        <v>80.205181946942872</v>
      </c>
      <c r="BN40">
        <v>79.590768574511273</v>
      </c>
      <c r="BO40">
        <v>78.895472849923692</v>
      </c>
      <c r="BP40">
        <v>78.102533441199725</v>
      </c>
      <c r="BQ40">
        <v>77.190334097219477</v>
      </c>
      <c r="BR40">
        <v>76.130567596785468</v>
      </c>
      <c r="BT40">
        <v>81.666311000420905</v>
      </c>
      <c r="BU40">
        <v>81.222912066450775</v>
      </c>
      <c r="BV40">
        <v>80.730129339099761</v>
      </c>
      <c r="BW40">
        <v>80.179315955646828</v>
      </c>
      <c r="BX40">
        <v>79.559706828312642</v>
      </c>
      <c r="BY40">
        <v>78.857737495680368</v>
      </c>
      <c r="BZ40">
        <v>78.056086927949337</v>
      </c>
      <c r="CA40">
        <v>77.132307375941878</v>
      </c>
      <c r="CB40">
        <v>76.056823249576297</v>
      </c>
      <c r="CD40">
        <v>84.473240307049508</v>
      </c>
      <c r="CE40">
        <v>84.280967555379164</v>
      </c>
      <c r="CF40">
        <v>84.074899159274267</v>
      </c>
      <c r="CG40">
        <v>83.853502914618986</v>
      </c>
      <c r="CH40">
        <v>83.615012307447813</v>
      </c>
      <c r="CI40">
        <v>83.357380231544639</v>
      </c>
      <c r="CJ40">
        <v>83.078221363532322</v>
      </c>
      <c r="CK40">
        <v>82.774739840991515</v>
      </c>
      <c r="CL40">
        <v>82.443637716154555</v>
      </c>
      <c r="CN40">
        <v>84.468606291847635</v>
      </c>
      <c r="CO40">
        <v>84.275832413586571</v>
      </c>
      <c r="CP40">
        <v>84.069188117119197</v>
      </c>
      <c r="CQ40">
        <v>83.84712675007664</v>
      </c>
      <c r="CR40">
        <v>83.60786387547239</v>
      </c>
      <c r="CS40">
        <v>83.349329976824819</v>
      </c>
      <c r="CT40">
        <v>83.069111470173709</v>
      </c>
      <c r="CU40">
        <v>82.764376526310059</v>
      </c>
      <c r="CV40">
        <v>82.431780966699961</v>
      </c>
      <c r="CX40">
        <v>74.88553680749375</v>
      </c>
      <c r="CY40">
        <v>76.130567596785468</v>
      </c>
      <c r="CZ40">
        <v>77.190334097219477</v>
      </c>
      <c r="DA40">
        <v>78.102533441199725</v>
      </c>
      <c r="DB40">
        <v>78.895472849923692</v>
      </c>
      <c r="DC40">
        <v>79.590768574511273</v>
      </c>
      <c r="DD40">
        <v>80.205181946942872</v>
      </c>
      <c r="DE40">
        <v>80.751891735891988</v>
      </c>
      <c r="DF40">
        <v>81.241391614118371</v>
      </c>
      <c r="DH40">
        <v>74.789943912043057</v>
      </c>
      <c r="DI40">
        <v>76.056823249576297</v>
      </c>
      <c r="DJ40">
        <v>77.132307375941878</v>
      </c>
      <c r="DK40">
        <v>78.056086927949337</v>
      </c>
      <c r="DL40">
        <v>78.857737495680368</v>
      </c>
      <c r="DM40">
        <v>79.559706828312642</v>
      </c>
      <c r="DN40">
        <v>80.179315955646828</v>
      </c>
      <c r="DO40">
        <v>80.730129339099761</v>
      </c>
      <c r="DP40">
        <v>81.222912066450775</v>
      </c>
      <c r="DR40">
        <v>25.772653472692422</v>
      </c>
      <c r="DS40">
        <v>34.662533883144853</v>
      </c>
      <c r="DT40">
        <v>44.536009445364563</v>
      </c>
      <c r="DU40">
        <v>52.538460979868461</v>
      </c>
      <c r="DV40">
        <v>58.596293873515215</v>
      </c>
      <c r="DW40">
        <v>63.167750138058103</v>
      </c>
      <c r="DX40">
        <v>66.674016222475174</v>
      </c>
      <c r="DY40">
        <v>69.420091081261575</v>
      </c>
      <c r="DZ40">
        <v>71.615573157720036</v>
      </c>
      <c r="EB40">
        <v>12.979350497927722</v>
      </c>
      <c r="EC40">
        <v>28.63490403452203</v>
      </c>
      <c r="ED40">
        <v>41.597516791214169</v>
      </c>
      <c r="EE40">
        <v>50.983028334975728</v>
      </c>
      <c r="EF40">
        <v>57.704631742407365</v>
      </c>
      <c r="EG40">
        <v>62.619883852030583</v>
      </c>
      <c r="EH40">
        <v>66.317354799349502</v>
      </c>
      <c r="EI40">
        <v>69.17659199301967</v>
      </c>
      <c r="EJ40">
        <v>71.442685620060914</v>
      </c>
      <c r="EL40">
        <v>73.40411254987491</v>
      </c>
      <c r="EM40">
        <v>71.615573157720036</v>
      </c>
      <c r="EN40">
        <v>69.420091081261575</v>
      </c>
      <c r="EO40">
        <v>66.674016222475174</v>
      </c>
      <c r="EP40">
        <v>63.167750138058103</v>
      </c>
      <c r="EQ40">
        <v>58.596293873515215</v>
      </c>
      <c r="ER40">
        <v>52.538460979868461</v>
      </c>
      <c r="ES40">
        <v>44.536009445364563</v>
      </c>
      <c r="ET40">
        <v>34.662533883144853</v>
      </c>
      <c r="EV40">
        <v>73.277298577697493</v>
      </c>
      <c r="EW40">
        <v>71.442685620060914</v>
      </c>
      <c r="EX40">
        <v>69.17659199301967</v>
      </c>
      <c r="EY40">
        <v>66.317354799349502</v>
      </c>
      <c r="EZ40">
        <v>62.619883852030583</v>
      </c>
      <c r="FA40">
        <v>57.704631742407365</v>
      </c>
      <c r="FB40">
        <v>50.983028334975728</v>
      </c>
      <c r="FC40">
        <v>41.597516791214169</v>
      </c>
      <c r="FD40">
        <v>28.63490403452203</v>
      </c>
      <c r="FF40">
        <v>81.682133819864788</v>
      </c>
      <c r="FG40">
        <v>81.241391614118371</v>
      </c>
      <c r="FH40">
        <v>80.751891735891988</v>
      </c>
      <c r="FI40">
        <v>80.205181946942872</v>
      </c>
      <c r="FJ40">
        <v>79.590768574511273</v>
      </c>
      <c r="FK40">
        <v>78.895472849923692</v>
      </c>
      <c r="FL40">
        <v>78.102533441199725</v>
      </c>
      <c r="FM40">
        <v>77.190334097219477</v>
      </c>
      <c r="FN40">
        <v>76.130567596785468</v>
      </c>
      <c r="FP40">
        <v>81.666311000420905</v>
      </c>
      <c r="FQ40">
        <v>81.222912066450775</v>
      </c>
      <c r="FR40">
        <v>80.730129339099761</v>
      </c>
      <c r="FS40">
        <v>80.179315955646828</v>
      </c>
      <c r="FT40">
        <v>79.559706828312642</v>
      </c>
      <c r="FU40">
        <v>78.857737495680368</v>
      </c>
      <c r="FV40">
        <v>78.056086927949337</v>
      </c>
      <c r="FW40">
        <v>77.132307375941878</v>
      </c>
      <c r="FX40">
        <v>76.056823249576297</v>
      </c>
      <c r="FZ40">
        <v>84.473240307049508</v>
      </c>
      <c r="GA40">
        <v>84.280967555379164</v>
      </c>
      <c r="GB40">
        <v>84.074899159274267</v>
      </c>
      <c r="GC40">
        <v>83.853502914618986</v>
      </c>
      <c r="GD40">
        <v>83.615012307447813</v>
      </c>
      <c r="GE40">
        <v>83.357380231544639</v>
      </c>
      <c r="GF40">
        <v>83.078221363532322</v>
      </c>
      <c r="GG40">
        <v>82.774739840991515</v>
      </c>
      <c r="GH40">
        <v>82.443637716154555</v>
      </c>
      <c r="GJ40">
        <v>84.468606291847635</v>
      </c>
      <c r="GK40">
        <v>84.275832413586571</v>
      </c>
      <c r="GL40">
        <v>84.069188117119197</v>
      </c>
      <c r="GM40">
        <v>83.84712675007664</v>
      </c>
      <c r="GN40">
        <v>83.60786387547239</v>
      </c>
      <c r="GO40">
        <v>83.349329976824819</v>
      </c>
      <c r="GP40">
        <v>83.069111470173709</v>
      </c>
      <c r="GQ40">
        <v>82.764376526310059</v>
      </c>
      <c r="GR40">
        <v>82.431780966699961</v>
      </c>
      <c r="GS40">
        <v>82.067347743305007</v>
      </c>
    </row>
    <row r="41" spans="2:201">
      <c r="B41">
        <v>74.999959773323056</v>
      </c>
      <c r="C41">
        <v>76.219129753593151</v>
      </c>
      <c r="D41">
        <v>77.260200612199412</v>
      </c>
      <c r="E41">
        <v>78.158572149894056</v>
      </c>
      <c r="F41">
        <v>78.941077260335803</v>
      </c>
      <c r="G41">
        <v>79.628359027754726</v>
      </c>
      <c r="H41">
        <v>80.236520084137325</v>
      </c>
      <c r="I41">
        <v>80.778283213605903</v>
      </c>
      <c r="J41">
        <v>81.2638199955815</v>
      </c>
      <c r="L41">
        <v>74.779210099476998</v>
      </c>
      <c r="M41">
        <v>76.048556597877322</v>
      </c>
      <c r="N41">
        <v>77.125811159573161</v>
      </c>
      <c r="O41">
        <v>78.050892552183086</v>
      </c>
      <c r="P41">
        <v>78.853520886884709</v>
      </c>
      <c r="Q41">
        <v>79.556238330059685</v>
      </c>
      <c r="R41">
        <v>80.176429288944689</v>
      </c>
      <c r="S41">
        <v>80.727701799386267</v>
      </c>
      <c r="T41">
        <v>81.220851554837992</v>
      </c>
      <c r="V41">
        <v>33.946295027753955</v>
      </c>
      <c r="W41">
        <v>39.880063941863064</v>
      </c>
      <c r="X41">
        <v>47.466059280396827</v>
      </c>
      <c r="Y41">
        <v>54.204579854833938</v>
      </c>
      <c r="Z41">
        <v>59.591153351587124</v>
      </c>
      <c r="AA41">
        <v>63.794531170745181</v>
      </c>
      <c r="AB41">
        <v>67.088752611716941</v>
      </c>
      <c r="AC41">
        <v>69.706396146123353</v>
      </c>
      <c r="AD41">
        <v>71.820453567351166</v>
      </c>
      <c r="AF41">
        <v>10.315082561193284</v>
      </c>
      <c r="AG41">
        <v>27.806069555844168</v>
      </c>
      <c r="AH41">
        <v>41.23221278344419</v>
      </c>
      <c r="AI41">
        <v>50.797684687577274</v>
      </c>
      <c r="AJ41">
        <v>57.600749965522155</v>
      </c>
      <c r="AK41">
        <v>62.556905302780194</v>
      </c>
      <c r="AL41">
        <v>66.276704930931317</v>
      </c>
      <c r="AM41">
        <v>69.148998836084942</v>
      </c>
      <c r="AN41">
        <v>71.423173028283941</v>
      </c>
      <c r="AP41">
        <v>73.555256161392734</v>
      </c>
      <c r="AQ41">
        <v>71.820453567351166</v>
      </c>
      <c r="AR41">
        <v>69.706396146123353</v>
      </c>
      <c r="AS41">
        <v>67.088752611716941</v>
      </c>
      <c r="AT41">
        <v>63.794531170745181</v>
      </c>
      <c r="AU41">
        <v>59.591153351587124</v>
      </c>
      <c r="AV41">
        <v>54.204579854833938</v>
      </c>
      <c r="AW41">
        <v>47.466059280396827</v>
      </c>
      <c r="AX41">
        <v>39.880063941863064</v>
      </c>
      <c r="AZ41">
        <v>73.263027853830792</v>
      </c>
      <c r="BA41">
        <v>71.423173028283941</v>
      </c>
      <c r="BB41">
        <v>69.148998836084942</v>
      </c>
      <c r="BC41">
        <v>66.276704930931317</v>
      </c>
      <c r="BD41">
        <v>62.556905302780194</v>
      </c>
      <c r="BE41">
        <v>57.600749965522155</v>
      </c>
      <c r="BF41">
        <v>50.797684687577274</v>
      </c>
      <c r="BG41">
        <v>41.23221278344419</v>
      </c>
      <c r="BH41">
        <v>27.806069555844168</v>
      </c>
      <c r="BJ41">
        <v>81.701350971045926</v>
      </c>
      <c r="BK41">
        <v>81.2638199955815</v>
      </c>
      <c r="BL41">
        <v>80.778283213605903</v>
      </c>
      <c r="BM41">
        <v>80.236520084137325</v>
      </c>
      <c r="BN41">
        <v>79.628359027754726</v>
      </c>
      <c r="BO41">
        <v>78.941077260335803</v>
      </c>
      <c r="BP41">
        <v>78.158572149894056</v>
      </c>
      <c r="BQ41">
        <v>77.260200612199412</v>
      </c>
      <c r="BR41">
        <v>76.219129753593151</v>
      </c>
      <c r="BT41">
        <v>81.66454732970891</v>
      </c>
      <c r="BU41">
        <v>81.220851554837992</v>
      </c>
      <c r="BV41">
        <v>80.727701799386267</v>
      </c>
      <c r="BW41">
        <v>80.176429288944689</v>
      </c>
      <c r="BX41">
        <v>79.556238330059685</v>
      </c>
      <c r="BY41">
        <v>78.853520886884709</v>
      </c>
      <c r="BZ41">
        <v>78.050892552183086</v>
      </c>
      <c r="CA41">
        <v>77.125811159573161</v>
      </c>
      <c r="CB41">
        <v>76.048556597877322</v>
      </c>
      <c r="CD41">
        <v>84.47888831817022</v>
      </c>
      <c r="CE41">
        <v>84.287225111298014</v>
      </c>
      <c r="CF41">
        <v>84.081856967670305</v>
      </c>
      <c r="CG41">
        <v>83.861269150568532</v>
      </c>
      <c r="CH41">
        <v>83.623716796507381</v>
      </c>
      <c r="CI41">
        <v>83.367179845392414</v>
      </c>
      <c r="CJ41">
        <v>83.089307045422316</v>
      </c>
      <c r="CK41">
        <v>82.787345846262937</v>
      </c>
      <c r="CL41">
        <v>82.458053899277147</v>
      </c>
      <c r="CN41">
        <v>84.468090681418388</v>
      </c>
      <c r="CO41">
        <v>84.275260988007318</v>
      </c>
      <c r="CP41">
        <v>84.068552536967644</v>
      </c>
      <c r="CQ41">
        <v>83.846417061784649</v>
      </c>
      <c r="CR41">
        <v>83.607068122304952</v>
      </c>
      <c r="CS41">
        <v>83.348433696212822</v>
      </c>
      <c r="CT41">
        <v>83.06809703792436</v>
      </c>
      <c r="CU41">
        <v>82.763222292145585</v>
      </c>
      <c r="CV41">
        <v>82.430460101913354</v>
      </c>
      <c r="CX41">
        <v>74.999959773323056</v>
      </c>
      <c r="CY41">
        <v>76.219129753593151</v>
      </c>
      <c r="CZ41">
        <v>77.260200612199412</v>
      </c>
      <c r="DA41">
        <v>78.158572149894056</v>
      </c>
      <c r="DB41">
        <v>78.941077260335803</v>
      </c>
      <c r="DC41">
        <v>79.628359027754726</v>
      </c>
      <c r="DD41">
        <v>80.236520084137325</v>
      </c>
      <c r="DE41">
        <v>80.778283213605903</v>
      </c>
      <c r="DF41">
        <v>81.2638199955815</v>
      </c>
      <c r="DH41">
        <v>74.779210099476998</v>
      </c>
      <c r="DI41">
        <v>76.048556597877322</v>
      </c>
      <c r="DJ41">
        <v>77.125811159573161</v>
      </c>
      <c r="DK41">
        <v>78.050892552183086</v>
      </c>
      <c r="DL41">
        <v>78.853520886884709</v>
      </c>
      <c r="DM41">
        <v>79.556238330059685</v>
      </c>
      <c r="DN41">
        <v>80.176429288944689</v>
      </c>
      <c r="DO41">
        <v>80.727701799386267</v>
      </c>
      <c r="DP41">
        <v>81.220851554837992</v>
      </c>
      <c r="DR41">
        <v>33.946295027753955</v>
      </c>
      <c r="DS41">
        <v>39.880063941863064</v>
      </c>
      <c r="DT41">
        <v>47.466059280396827</v>
      </c>
      <c r="DU41">
        <v>54.204579854833938</v>
      </c>
      <c r="DV41">
        <v>59.591153351587124</v>
      </c>
      <c r="DW41">
        <v>63.794531170745181</v>
      </c>
      <c r="DX41">
        <v>67.088752611716941</v>
      </c>
      <c r="DY41">
        <v>69.706396146123353</v>
      </c>
      <c r="DZ41">
        <v>71.820453567351166</v>
      </c>
      <c r="EB41">
        <v>10.315082561193284</v>
      </c>
      <c r="EC41">
        <v>27.806069555844168</v>
      </c>
      <c r="ED41">
        <v>41.23221278344419</v>
      </c>
      <c r="EE41">
        <v>50.797684687577274</v>
      </c>
      <c r="EF41">
        <v>57.600749965522155</v>
      </c>
      <c r="EG41">
        <v>62.556905302780194</v>
      </c>
      <c r="EH41">
        <v>66.276704930931317</v>
      </c>
      <c r="EI41">
        <v>69.148998836084942</v>
      </c>
      <c r="EJ41">
        <v>71.423173028283941</v>
      </c>
      <c r="EL41">
        <v>73.555256161392734</v>
      </c>
      <c r="EM41">
        <v>71.820453567351166</v>
      </c>
      <c r="EN41">
        <v>69.706396146123353</v>
      </c>
      <c r="EO41">
        <v>67.088752611716941</v>
      </c>
      <c r="EP41">
        <v>63.794531170745181</v>
      </c>
      <c r="EQ41">
        <v>59.591153351587124</v>
      </c>
      <c r="ER41">
        <v>54.204579854833938</v>
      </c>
      <c r="ES41">
        <v>47.466059280396827</v>
      </c>
      <c r="ET41">
        <v>39.880063941863064</v>
      </c>
      <c r="EV41">
        <v>73.263027853830792</v>
      </c>
      <c r="EW41">
        <v>71.423173028283941</v>
      </c>
      <c r="EX41">
        <v>69.148998836084942</v>
      </c>
      <c r="EY41">
        <v>66.276704930931317</v>
      </c>
      <c r="EZ41">
        <v>62.556905302780194</v>
      </c>
      <c r="FA41">
        <v>57.600749965522155</v>
      </c>
      <c r="FB41">
        <v>50.797684687577274</v>
      </c>
      <c r="FC41">
        <v>41.23221278344419</v>
      </c>
      <c r="FD41">
        <v>27.806069555844168</v>
      </c>
      <c r="FF41">
        <v>81.701350971045926</v>
      </c>
      <c r="FG41">
        <v>81.2638199955815</v>
      </c>
      <c r="FH41">
        <v>80.778283213605903</v>
      </c>
      <c r="FI41">
        <v>80.236520084137325</v>
      </c>
      <c r="FJ41">
        <v>79.628359027754726</v>
      </c>
      <c r="FK41">
        <v>78.941077260335803</v>
      </c>
      <c r="FL41">
        <v>78.158572149894056</v>
      </c>
      <c r="FM41">
        <v>77.260200612199412</v>
      </c>
      <c r="FN41">
        <v>76.219129753593151</v>
      </c>
      <c r="FP41">
        <v>81.66454732970891</v>
      </c>
      <c r="FQ41">
        <v>81.220851554837992</v>
      </c>
      <c r="FR41">
        <v>80.727701799386267</v>
      </c>
      <c r="FS41">
        <v>80.176429288944689</v>
      </c>
      <c r="FT41">
        <v>79.556238330059685</v>
      </c>
      <c r="FU41">
        <v>78.853520886884709</v>
      </c>
      <c r="FV41">
        <v>78.050892552183086</v>
      </c>
      <c r="FW41">
        <v>77.125811159573161</v>
      </c>
      <c r="FX41">
        <v>76.048556597877322</v>
      </c>
      <c r="FZ41">
        <v>84.47888831817022</v>
      </c>
      <c r="GA41">
        <v>84.287225111298014</v>
      </c>
      <c r="GB41">
        <v>84.081856967670305</v>
      </c>
      <c r="GC41">
        <v>83.861269150568532</v>
      </c>
      <c r="GD41">
        <v>83.623716796507381</v>
      </c>
      <c r="GE41">
        <v>83.367179845392414</v>
      </c>
      <c r="GF41">
        <v>83.089307045422316</v>
      </c>
      <c r="GG41">
        <v>82.787345846262937</v>
      </c>
      <c r="GH41">
        <v>82.458053899277147</v>
      </c>
      <c r="GJ41">
        <v>84.468090681418388</v>
      </c>
      <c r="GK41">
        <v>84.275260988007318</v>
      </c>
      <c r="GL41">
        <v>84.068552536967644</v>
      </c>
      <c r="GM41">
        <v>83.846417061784649</v>
      </c>
      <c r="GN41">
        <v>83.607068122304952</v>
      </c>
      <c r="GO41">
        <v>83.348433696212822</v>
      </c>
      <c r="GP41">
        <v>83.06809703792436</v>
      </c>
      <c r="GQ41">
        <v>82.763222292145585</v>
      </c>
      <c r="GR41">
        <v>82.430460101913354</v>
      </c>
      <c r="GS41">
        <v>82.065826685951137</v>
      </c>
    </row>
    <row r="42" spans="2:201">
      <c r="B42">
        <v>75.15188234629926</v>
      </c>
      <c r="C42">
        <v>76.337206185558401</v>
      </c>
      <c r="D42">
        <v>77.35365619530441</v>
      </c>
      <c r="E42">
        <v>78.233727709218201</v>
      </c>
      <c r="F42">
        <v>79.002369074697143</v>
      </c>
      <c r="G42">
        <v>79.678968483970976</v>
      </c>
      <c r="H42">
        <v>80.278773125375764</v>
      </c>
      <c r="I42">
        <v>80.813910137322353</v>
      </c>
      <c r="J42">
        <v>81.29412830752581</v>
      </c>
      <c r="L42">
        <v>74.811343555889422</v>
      </c>
      <c r="M42">
        <v>76.073312550308358</v>
      </c>
      <c r="N42">
        <v>77.145270354889462</v>
      </c>
      <c r="O42">
        <v>78.066455386009139</v>
      </c>
      <c r="P42">
        <v>78.866156375370721</v>
      </c>
      <c r="Q42">
        <v>79.566633469030293</v>
      </c>
      <c r="R42">
        <v>80.185081662424309</v>
      </c>
      <c r="S42">
        <v>80.734978703768505</v>
      </c>
      <c r="T42">
        <v>81.227028740688951</v>
      </c>
      <c r="V42">
        <v>40.952351591593704</v>
      </c>
      <c r="W42">
        <v>44.973117396971325</v>
      </c>
      <c r="X42">
        <v>50.656886529398676</v>
      </c>
      <c r="Y42">
        <v>56.15086812484487</v>
      </c>
      <c r="Z42">
        <v>60.805976083228174</v>
      </c>
      <c r="AA42">
        <v>64.58223577572241</v>
      </c>
      <c r="AB42">
        <v>67.62014850489652</v>
      </c>
      <c r="AC42">
        <v>70.078201795535321</v>
      </c>
      <c r="AD42">
        <v>72.089098587328323</v>
      </c>
      <c r="AF42">
        <v>16.970296539403275</v>
      </c>
      <c r="AG42">
        <v>30.177366030617918</v>
      </c>
      <c r="AH42">
        <v>42.302624878481225</v>
      </c>
      <c r="AI42">
        <v>51.345780337700916</v>
      </c>
      <c r="AJ42">
        <v>57.90940183466796</v>
      </c>
      <c r="AK42">
        <v>62.744544446154045</v>
      </c>
      <c r="AL42">
        <v>66.398029827964606</v>
      </c>
      <c r="AM42">
        <v>69.23145071853078</v>
      </c>
      <c r="AN42">
        <v>71.481526863846696</v>
      </c>
      <c r="AP42">
        <v>73.754856248318845</v>
      </c>
      <c r="AQ42">
        <v>72.089098587328323</v>
      </c>
      <c r="AR42">
        <v>70.078201795535321</v>
      </c>
      <c r="AS42">
        <v>67.62014850489652</v>
      </c>
      <c r="AT42">
        <v>64.58223577572241</v>
      </c>
      <c r="AU42">
        <v>60.805976083228174</v>
      </c>
      <c r="AV42">
        <v>56.15086812484487</v>
      </c>
      <c r="AW42">
        <v>50.656886529398676</v>
      </c>
      <c r="AX42">
        <v>44.973117396971325</v>
      </c>
      <c r="AZ42">
        <v>73.305730782725433</v>
      </c>
      <c r="BA42">
        <v>71.481526863846696</v>
      </c>
      <c r="BB42">
        <v>69.23145071853078</v>
      </c>
      <c r="BC42">
        <v>66.398029827964606</v>
      </c>
      <c r="BD42">
        <v>62.744544446154045</v>
      </c>
      <c r="BE42">
        <v>57.90940183466796</v>
      </c>
      <c r="BF42">
        <v>51.345780337700916</v>
      </c>
      <c r="BG42">
        <v>42.302624878481225</v>
      </c>
      <c r="BH42">
        <v>30.177366030617918</v>
      </c>
      <c r="BJ42">
        <v>81.727342800331087</v>
      </c>
      <c r="BK42">
        <v>81.29412830752581</v>
      </c>
      <c r="BL42">
        <v>80.813910137322353</v>
      </c>
      <c r="BM42">
        <v>80.278773125375764</v>
      </c>
      <c r="BN42">
        <v>79.678968483970976</v>
      </c>
      <c r="BO42">
        <v>79.002369074697143</v>
      </c>
      <c r="BP42">
        <v>78.233727709218201</v>
      </c>
      <c r="BQ42">
        <v>77.35365619530441</v>
      </c>
      <c r="BR42">
        <v>76.337206185558401</v>
      </c>
      <c r="BT42">
        <v>81.669834985790729</v>
      </c>
      <c r="BU42">
        <v>81.227028740688951</v>
      </c>
      <c r="BV42">
        <v>80.734978703768505</v>
      </c>
      <c r="BW42">
        <v>80.185081662424309</v>
      </c>
      <c r="BX42">
        <v>79.566633469030293</v>
      </c>
      <c r="BY42">
        <v>78.866156375370721</v>
      </c>
      <c r="BZ42">
        <v>78.066455386009139</v>
      </c>
      <c r="CA42">
        <v>77.145270354889462</v>
      </c>
      <c r="CB42">
        <v>76.073312550308358</v>
      </c>
      <c r="CD42">
        <v>84.486562319838669</v>
      </c>
      <c r="CE42">
        <v>84.29572513367205</v>
      </c>
      <c r="CF42">
        <v>84.091305506258081</v>
      </c>
      <c r="CG42">
        <v>83.871812185336111</v>
      </c>
      <c r="CH42">
        <v>83.635529385002712</v>
      </c>
      <c r="CI42">
        <v>83.380473326245479</v>
      </c>
      <c r="CJ42">
        <v>83.104338401850043</v>
      </c>
      <c r="CK42">
        <v>82.804429998317161</v>
      </c>
      <c r="CL42">
        <v>82.47758001354525</v>
      </c>
      <c r="CN42">
        <v>84.469637080325882</v>
      </c>
      <c r="CO42">
        <v>84.276974751587105</v>
      </c>
      <c r="CP42">
        <v>84.070458664710429</v>
      </c>
      <c r="CQ42">
        <v>83.848545390332717</v>
      </c>
      <c r="CR42">
        <v>83.609454490747083</v>
      </c>
      <c r="CS42">
        <v>83.35112145162536</v>
      </c>
      <c r="CT42">
        <v>83.071138999272094</v>
      </c>
      <c r="CU42">
        <v>82.766683338712284</v>
      </c>
      <c r="CV42">
        <v>82.434420623156143</v>
      </c>
      <c r="CX42">
        <v>75.15188234629926</v>
      </c>
      <c r="CY42">
        <v>76.337206185558401</v>
      </c>
      <c r="CZ42">
        <v>77.35365619530441</v>
      </c>
      <c r="DA42">
        <v>78.233727709218201</v>
      </c>
      <c r="DB42">
        <v>79.002369074697143</v>
      </c>
      <c r="DC42">
        <v>79.678968483970976</v>
      </c>
      <c r="DD42">
        <v>80.278773125375764</v>
      </c>
      <c r="DE42">
        <v>80.813910137322353</v>
      </c>
      <c r="DF42">
        <v>81.29412830752581</v>
      </c>
      <c r="DH42">
        <v>74.811343555889422</v>
      </c>
      <c r="DI42">
        <v>76.073312550308358</v>
      </c>
      <c r="DJ42">
        <v>77.145270354889462</v>
      </c>
      <c r="DK42">
        <v>78.066455386009139</v>
      </c>
      <c r="DL42">
        <v>78.866156375370721</v>
      </c>
      <c r="DM42">
        <v>79.566633469030293</v>
      </c>
      <c r="DN42">
        <v>80.185081662424309</v>
      </c>
      <c r="DO42">
        <v>80.734978703768505</v>
      </c>
      <c r="DP42">
        <v>81.227028740688951</v>
      </c>
      <c r="DR42">
        <v>40.952351591593704</v>
      </c>
      <c r="DS42">
        <v>44.973117396971325</v>
      </c>
      <c r="DT42">
        <v>50.656886529398676</v>
      </c>
      <c r="DU42">
        <v>56.15086812484487</v>
      </c>
      <c r="DV42">
        <v>60.805976083228174</v>
      </c>
      <c r="DW42">
        <v>64.58223577572241</v>
      </c>
      <c r="DX42">
        <v>67.62014850489652</v>
      </c>
      <c r="DY42">
        <v>70.078201795535321</v>
      </c>
      <c r="DZ42">
        <v>72.089098587328323</v>
      </c>
      <c r="EB42">
        <v>16.970296539403275</v>
      </c>
      <c r="EC42">
        <v>30.177366030617918</v>
      </c>
      <c r="ED42">
        <v>42.302624878481225</v>
      </c>
      <c r="EE42">
        <v>51.345780337700916</v>
      </c>
      <c r="EF42">
        <v>57.90940183466796</v>
      </c>
      <c r="EG42">
        <v>62.744544446154045</v>
      </c>
      <c r="EH42">
        <v>66.398029827964606</v>
      </c>
      <c r="EI42">
        <v>69.23145071853078</v>
      </c>
      <c r="EJ42">
        <v>71.481526863846696</v>
      </c>
      <c r="EL42">
        <v>73.754856248318845</v>
      </c>
      <c r="EM42">
        <v>72.089098587328323</v>
      </c>
      <c r="EN42">
        <v>70.078201795535321</v>
      </c>
      <c r="EO42">
        <v>67.62014850489652</v>
      </c>
      <c r="EP42">
        <v>64.58223577572241</v>
      </c>
      <c r="EQ42">
        <v>60.805976083228174</v>
      </c>
      <c r="ER42">
        <v>56.15086812484487</v>
      </c>
      <c r="ES42">
        <v>50.656886529398676</v>
      </c>
      <c r="ET42">
        <v>44.973117396971325</v>
      </c>
      <c r="EV42">
        <v>73.305730782725433</v>
      </c>
      <c r="EW42">
        <v>71.481526863846696</v>
      </c>
      <c r="EX42">
        <v>69.23145071853078</v>
      </c>
      <c r="EY42">
        <v>66.398029827964606</v>
      </c>
      <c r="EZ42">
        <v>62.744544446154045</v>
      </c>
      <c r="FA42">
        <v>57.90940183466796</v>
      </c>
      <c r="FB42">
        <v>51.345780337700916</v>
      </c>
      <c r="FC42">
        <v>42.302624878481225</v>
      </c>
      <c r="FD42">
        <v>30.177366030617918</v>
      </c>
      <c r="FF42">
        <v>81.727342800331087</v>
      </c>
      <c r="FG42">
        <v>81.29412830752581</v>
      </c>
      <c r="FH42">
        <v>80.813910137322353</v>
      </c>
      <c r="FI42">
        <v>80.278773125375764</v>
      </c>
      <c r="FJ42">
        <v>79.678968483970976</v>
      </c>
      <c r="FK42">
        <v>79.002369074697143</v>
      </c>
      <c r="FL42">
        <v>78.233727709218201</v>
      </c>
      <c r="FM42">
        <v>77.35365619530441</v>
      </c>
      <c r="FN42">
        <v>76.337206185558401</v>
      </c>
      <c r="FP42">
        <v>81.669834985790729</v>
      </c>
      <c r="FQ42">
        <v>81.227028740688951</v>
      </c>
      <c r="FR42">
        <v>80.734978703768505</v>
      </c>
      <c r="FS42">
        <v>80.185081662424309</v>
      </c>
      <c r="FT42">
        <v>79.566633469030293</v>
      </c>
      <c r="FU42">
        <v>78.866156375370721</v>
      </c>
      <c r="FV42">
        <v>78.066455386009139</v>
      </c>
      <c r="FW42">
        <v>77.145270354889462</v>
      </c>
      <c r="FX42">
        <v>76.073312550308358</v>
      </c>
      <c r="FZ42">
        <v>84.486562319838669</v>
      </c>
      <c r="GA42">
        <v>84.29572513367205</v>
      </c>
      <c r="GB42">
        <v>84.091305506258081</v>
      </c>
      <c r="GC42">
        <v>83.871812185336111</v>
      </c>
      <c r="GD42">
        <v>83.635529385002712</v>
      </c>
      <c r="GE42">
        <v>83.380473326245479</v>
      </c>
      <c r="GF42">
        <v>83.104338401850043</v>
      </c>
      <c r="GG42">
        <v>82.804429998317161</v>
      </c>
      <c r="GH42">
        <v>82.47758001354525</v>
      </c>
      <c r="GJ42">
        <v>84.469637080325882</v>
      </c>
      <c r="GK42">
        <v>84.276974751587105</v>
      </c>
      <c r="GL42">
        <v>84.070458664710429</v>
      </c>
      <c r="GM42">
        <v>83.848545390332717</v>
      </c>
      <c r="GN42">
        <v>83.609454490747083</v>
      </c>
      <c r="GO42">
        <v>83.35112145162536</v>
      </c>
      <c r="GP42">
        <v>83.071138999272094</v>
      </c>
      <c r="GQ42">
        <v>82.766683338712284</v>
      </c>
      <c r="GR42">
        <v>82.434420623156143</v>
      </c>
      <c r="GS42">
        <v>82.070387235357884</v>
      </c>
    </row>
    <row r="43" spans="2:201">
      <c r="B43">
        <v>75.337848302174336</v>
      </c>
      <c r="C43">
        <v>76.482500707367294</v>
      </c>
      <c r="D43">
        <v>77.469132130509294</v>
      </c>
      <c r="E43">
        <v>78.326901515001893</v>
      </c>
      <c r="F43">
        <v>79.078561778814617</v>
      </c>
      <c r="G43">
        <v>79.74202267838271</v>
      </c>
      <c r="H43">
        <v>80.331514322868145</v>
      </c>
      <c r="I43">
        <v>80.858450312902136</v>
      </c>
      <c r="J43">
        <v>81.332069782892376</v>
      </c>
      <c r="L43">
        <v>74.88553680749375</v>
      </c>
      <c r="M43">
        <v>76.130567596785468</v>
      </c>
      <c r="N43">
        <v>77.190334097219477</v>
      </c>
      <c r="O43">
        <v>78.102533441199725</v>
      </c>
      <c r="P43">
        <v>78.895472849923692</v>
      </c>
      <c r="Q43">
        <v>79.590768574511273</v>
      </c>
      <c r="R43">
        <v>80.205181946942872</v>
      </c>
      <c r="S43">
        <v>80.751891735891988</v>
      </c>
      <c r="T43">
        <v>81.241391614118371</v>
      </c>
      <c r="V43">
        <v>46.789032669782969</v>
      </c>
      <c r="W43">
        <v>49.574466841299973</v>
      </c>
      <c r="X43">
        <v>53.809330425403736</v>
      </c>
      <c r="Y43">
        <v>58.20931111603339</v>
      </c>
      <c r="Z43">
        <v>62.153137800613962</v>
      </c>
      <c r="AA43">
        <v>65.4846592814351</v>
      </c>
      <c r="AB43">
        <v>68.242908363853886</v>
      </c>
      <c r="AC43">
        <v>70.521037651693504</v>
      </c>
      <c r="AD43">
        <v>72.41286662826262</v>
      </c>
      <c r="AF43">
        <v>25.772653472692422</v>
      </c>
      <c r="AG43">
        <v>34.662533883144853</v>
      </c>
      <c r="AH43">
        <v>44.536009445364563</v>
      </c>
      <c r="AI43">
        <v>52.538460979868461</v>
      </c>
      <c r="AJ43">
        <v>58.596293873515215</v>
      </c>
      <c r="AK43">
        <v>63.167750138058103</v>
      </c>
      <c r="AL43">
        <v>66.674016222475174</v>
      </c>
      <c r="AM43">
        <v>69.420091081261575</v>
      </c>
      <c r="AN43">
        <v>71.615573157720036</v>
      </c>
      <c r="AP43">
        <v>73.99754384840837</v>
      </c>
      <c r="AQ43">
        <v>72.41286662826262</v>
      </c>
      <c r="AR43">
        <v>70.521037651693504</v>
      </c>
      <c r="AS43">
        <v>68.242908363853886</v>
      </c>
      <c r="AT43">
        <v>65.4846592814351</v>
      </c>
      <c r="AU43">
        <v>62.153137800613962</v>
      </c>
      <c r="AV43">
        <v>58.20931111603339</v>
      </c>
      <c r="AW43">
        <v>53.809330425403736</v>
      </c>
      <c r="AX43">
        <v>49.574466841299973</v>
      </c>
      <c r="AZ43">
        <v>73.40411254987491</v>
      </c>
      <c r="BA43">
        <v>71.615573157720036</v>
      </c>
      <c r="BB43">
        <v>69.420091081261575</v>
      </c>
      <c r="BC43">
        <v>66.674016222475174</v>
      </c>
      <c r="BD43">
        <v>63.167750138058103</v>
      </c>
      <c r="BE43">
        <v>58.596293873515215</v>
      </c>
      <c r="BF43">
        <v>52.538460979868461</v>
      </c>
      <c r="BG43">
        <v>44.536009445364563</v>
      </c>
      <c r="BH43">
        <v>34.662533883144853</v>
      </c>
      <c r="BJ43">
        <v>81.759917837050097</v>
      </c>
      <c r="BK43">
        <v>81.332069782892376</v>
      </c>
      <c r="BL43">
        <v>80.858450312902136</v>
      </c>
      <c r="BM43">
        <v>80.331514322868145</v>
      </c>
      <c r="BN43">
        <v>79.74202267838271</v>
      </c>
      <c r="BO43">
        <v>79.078561778814617</v>
      </c>
      <c r="BP43">
        <v>78.326901515001893</v>
      </c>
      <c r="BQ43">
        <v>77.469132130509294</v>
      </c>
      <c r="BR43">
        <v>76.482500707367294</v>
      </c>
      <c r="BT43">
        <v>81.682133819864788</v>
      </c>
      <c r="BU43">
        <v>81.241391614118371</v>
      </c>
      <c r="BV43">
        <v>80.751891735891988</v>
      </c>
      <c r="BW43">
        <v>80.205181946942872</v>
      </c>
      <c r="BX43">
        <v>79.590768574511273</v>
      </c>
      <c r="BY43">
        <v>78.895472849923692</v>
      </c>
      <c r="BZ43">
        <v>78.102533441199725</v>
      </c>
      <c r="CA43">
        <v>77.190334097219477</v>
      </c>
      <c r="CB43">
        <v>76.130567596785468</v>
      </c>
      <c r="CD43">
        <v>84.496236940561161</v>
      </c>
      <c r="CE43">
        <v>84.306437558450696</v>
      </c>
      <c r="CF43">
        <v>84.103208941148267</v>
      </c>
      <c r="CG43">
        <v>83.88508903916852</v>
      </c>
      <c r="CH43">
        <v>83.650398174418029</v>
      </c>
      <c r="CI43">
        <v>83.397197551299712</v>
      </c>
      <c r="CJ43">
        <v>83.123238057546075</v>
      </c>
      <c r="CK43">
        <v>82.825896649225754</v>
      </c>
      <c r="CL43">
        <v>82.502096739117945</v>
      </c>
      <c r="CN43">
        <v>84.473240307049508</v>
      </c>
      <c r="CO43">
        <v>84.280967555379164</v>
      </c>
      <c r="CP43">
        <v>84.074899159274267</v>
      </c>
      <c r="CQ43">
        <v>83.853502914618986</v>
      </c>
      <c r="CR43">
        <v>83.615012307447813</v>
      </c>
      <c r="CS43">
        <v>83.357380231544639</v>
      </c>
      <c r="CT43">
        <v>83.078221363532322</v>
      </c>
      <c r="CU43">
        <v>82.774739840991515</v>
      </c>
      <c r="CV43">
        <v>82.443637716154555</v>
      </c>
      <c r="CX43">
        <v>75.337848302174336</v>
      </c>
      <c r="CY43">
        <v>76.482500707367294</v>
      </c>
      <c r="CZ43">
        <v>77.469132130509294</v>
      </c>
      <c r="DA43">
        <v>78.326901515001893</v>
      </c>
      <c r="DB43">
        <v>79.078561778814617</v>
      </c>
      <c r="DC43">
        <v>79.74202267838271</v>
      </c>
      <c r="DD43">
        <v>80.331514322868145</v>
      </c>
      <c r="DE43">
        <v>80.858450312902136</v>
      </c>
      <c r="DF43">
        <v>81.332069782892376</v>
      </c>
      <c r="DH43">
        <v>74.88553680749375</v>
      </c>
      <c r="DI43">
        <v>76.130567596785468</v>
      </c>
      <c r="DJ43">
        <v>77.190334097219477</v>
      </c>
      <c r="DK43">
        <v>78.102533441199725</v>
      </c>
      <c r="DL43">
        <v>78.895472849923692</v>
      </c>
      <c r="DM43">
        <v>79.590768574511273</v>
      </c>
      <c r="DN43">
        <v>80.205181946942872</v>
      </c>
      <c r="DO43">
        <v>80.751891735891988</v>
      </c>
      <c r="DP43">
        <v>81.241391614118371</v>
      </c>
      <c r="DR43">
        <v>46.789032669782969</v>
      </c>
      <c r="DS43">
        <v>49.574466841299973</v>
      </c>
      <c r="DT43">
        <v>53.809330425403736</v>
      </c>
      <c r="DU43">
        <v>58.20931111603339</v>
      </c>
      <c r="DV43">
        <v>62.153137800613962</v>
      </c>
      <c r="DW43">
        <v>65.4846592814351</v>
      </c>
      <c r="DX43">
        <v>68.242908363853886</v>
      </c>
      <c r="DY43">
        <v>70.521037651693504</v>
      </c>
      <c r="DZ43">
        <v>72.41286662826262</v>
      </c>
      <c r="EB43">
        <v>25.772653472692422</v>
      </c>
      <c r="EC43">
        <v>34.662533883144853</v>
      </c>
      <c r="ED43">
        <v>44.536009445364563</v>
      </c>
      <c r="EE43">
        <v>52.538460979868461</v>
      </c>
      <c r="EF43">
        <v>58.596293873515215</v>
      </c>
      <c r="EG43">
        <v>63.167750138058103</v>
      </c>
      <c r="EH43">
        <v>66.674016222475174</v>
      </c>
      <c r="EI43">
        <v>69.420091081261575</v>
      </c>
      <c r="EJ43">
        <v>71.615573157720036</v>
      </c>
      <c r="EL43">
        <v>73.99754384840837</v>
      </c>
      <c r="EM43">
        <v>72.41286662826262</v>
      </c>
      <c r="EN43">
        <v>70.521037651693504</v>
      </c>
      <c r="EO43">
        <v>68.242908363853886</v>
      </c>
      <c r="EP43">
        <v>65.4846592814351</v>
      </c>
      <c r="EQ43">
        <v>62.153137800613962</v>
      </c>
      <c r="ER43">
        <v>58.20931111603339</v>
      </c>
      <c r="ES43">
        <v>53.809330425403736</v>
      </c>
      <c r="ET43">
        <v>49.574466841299973</v>
      </c>
      <c r="EV43">
        <v>73.40411254987491</v>
      </c>
      <c r="EW43">
        <v>71.615573157720036</v>
      </c>
      <c r="EX43">
        <v>69.420091081261575</v>
      </c>
      <c r="EY43">
        <v>66.674016222475174</v>
      </c>
      <c r="EZ43">
        <v>63.167750138058103</v>
      </c>
      <c r="FA43">
        <v>58.596293873515215</v>
      </c>
      <c r="FB43">
        <v>52.538460979868461</v>
      </c>
      <c r="FC43">
        <v>44.536009445364563</v>
      </c>
      <c r="FD43">
        <v>34.662533883144853</v>
      </c>
      <c r="FF43">
        <v>81.759917837050097</v>
      </c>
      <c r="FG43">
        <v>81.332069782892376</v>
      </c>
      <c r="FH43">
        <v>80.858450312902136</v>
      </c>
      <c r="FI43">
        <v>80.331514322868145</v>
      </c>
      <c r="FJ43">
        <v>79.74202267838271</v>
      </c>
      <c r="FK43">
        <v>79.078561778814617</v>
      </c>
      <c r="FL43">
        <v>78.326901515001893</v>
      </c>
      <c r="FM43">
        <v>77.469132130509294</v>
      </c>
      <c r="FN43">
        <v>76.482500707367294</v>
      </c>
      <c r="FP43">
        <v>81.682133819864788</v>
      </c>
      <c r="FQ43">
        <v>81.241391614118371</v>
      </c>
      <c r="FR43">
        <v>80.751891735891988</v>
      </c>
      <c r="FS43">
        <v>80.205181946942872</v>
      </c>
      <c r="FT43">
        <v>79.590768574511273</v>
      </c>
      <c r="FU43">
        <v>78.895472849923692</v>
      </c>
      <c r="FV43">
        <v>78.102533441199725</v>
      </c>
      <c r="FW43">
        <v>77.190334097219477</v>
      </c>
      <c r="FX43">
        <v>76.130567596785468</v>
      </c>
      <c r="FZ43">
        <v>84.496236940561161</v>
      </c>
      <c r="GA43">
        <v>84.306437558450696</v>
      </c>
      <c r="GB43">
        <v>84.103208941148267</v>
      </c>
      <c r="GC43">
        <v>83.88508903916852</v>
      </c>
      <c r="GD43">
        <v>83.650398174418029</v>
      </c>
      <c r="GE43">
        <v>83.397197551299712</v>
      </c>
      <c r="GF43">
        <v>83.123238057546075</v>
      </c>
      <c r="GG43">
        <v>82.825896649225754</v>
      </c>
      <c r="GH43">
        <v>82.502096739117945</v>
      </c>
      <c r="GJ43">
        <v>84.473240307049508</v>
      </c>
      <c r="GK43">
        <v>84.280967555379164</v>
      </c>
      <c r="GL43">
        <v>84.074899159274267</v>
      </c>
      <c r="GM43">
        <v>83.853502914618986</v>
      </c>
      <c r="GN43">
        <v>83.615012307447813</v>
      </c>
      <c r="GO43">
        <v>83.357380231544639</v>
      </c>
      <c r="GP43">
        <v>83.078221363532322</v>
      </c>
      <c r="GQ43">
        <v>82.774739840991515</v>
      </c>
      <c r="GR43">
        <v>82.443637716154555</v>
      </c>
      <c r="GS43">
        <v>82.080998007385901</v>
      </c>
    </row>
    <row r="45" spans="2:201">
      <c r="B45">
        <v>180</v>
      </c>
      <c r="C45">
        <v>180</v>
      </c>
      <c r="D45">
        <v>180</v>
      </c>
      <c r="E45">
        <v>180</v>
      </c>
      <c r="F45">
        <v>180</v>
      </c>
      <c r="G45">
        <v>180</v>
      </c>
      <c r="H45">
        <v>180</v>
      </c>
      <c r="I45">
        <v>180</v>
      </c>
      <c r="J45">
        <v>180</v>
      </c>
      <c r="L45">
        <v>164.05460409907715</v>
      </c>
      <c r="M45">
        <v>165.37912601136833</v>
      </c>
      <c r="N45">
        <v>166.5042667192042</v>
      </c>
      <c r="O45">
        <v>167.47119229084848</v>
      </c>
      <c r="P45">
        <v>168.3106308245608</v>
      </c>
      <c r="Q45">
        <v>169.04593735660166</v>
      </c>
      <c r="R45">
        <v>169.69515353123398</v>
      </c>
      <c r="S45">
        <v>170.27242144859838</v>
      </c>
      <c r="T45">
        <v>170.78897345918332</v>
      </c>
      <c r="V45">
        <v>111.25050550713323</v>
      </c>
      <c r="W45">
        <v>139.39870535499554</v>
      </c>
      <c r="X45">
        <v>152.78388844269253</v>
      </c>
      <c r="Y45">
        <v>159.8293465881496</v>
      </c>
      <c r="Z45">
        <v>164.05460409907715</v>
      </c>
      <c r="AA45">
        <v>166.8424572599852</v>
      </c>
      <c r="AB45">
        <v>168.8112000717482</v>
      </c>
      <c r="AC45">
        <v>170.27242144859838</v>
      </c>
      <c r="AD45">
        <v>171.39861514128512</v>
      </c>
      <c r="AF45">
        <v>99.462322208025611</v>
      </c>
      <c r="AG45">
        <v>116.56505117707799</v>
      </c>
      <c r="AH45">
        <v>129.80557109226521</v>
      </c>
      <c r="AI45">
        <v>139.39870535499554</v>
      </c>
      <c r="AJ45">
        <v>146.30993247402023</v>
      </c>
      <c r="AK45">
        <v>151.38954033403479</v>
      </c>
      <c r="AL45">
        <v>155.22485943116808</v>
      </c>
      <c r="AM45">
        <v>158.19859051364818</v>
      </c>
      <c r="AN45">
        <v>160.55996517182382</v>
      </c>
      <c r="AP45">
        <v>7.7074857229649751</v>
      </c>
      <c r="AQ45">
        <v>8.6013848587148942</v>
      </c>
      <c r="AR45">
        <v>9.7275785514016064</v>
      </c>
      <c r="AS45">
        <v>11.188799928251811</v>
      </c>
      <c r="AT45">
        <v>13.157542740014804</v>
      </c>
      <c r="AU45">
        <v>15.945395900922847</v>
      </c>
      <c r="AV45">
        <v>20.170653411850395</v>
      </c>
      <c r="AW45">
        <v>27.216111557307471</v>
      </c>
      <c r="AX45">
        <v>40.601294645004458</v>
      </c>
      <c r="AZ45">
        <v>17.525568373722876</v>
      </c>
      <c r="BA45">
        <v>19.440034828176195</v>
      </c>
      <c r="BB45">
        <v>21.801409486351815</v>
      </c>
      <c r="BC45">
        <v>24.775140568831915</v>
      </c>
      <c r="BD45">
        <v>28.610459665965209</v>
      </c>
      <c r="BE45">
        <v>33.690067525979785</v>
      </c>
      <c r="BF45">
        <v>40.601294645004465</v>
      </c>
      <c r="BG45">
        <v>50.194428907734803</v>
      </c>
      <c r="BH45">
        <v>63.43494882292201</v>
      </c>
      <c r="BJ45">
        <v>3.7722836093798406</v>
      </c>
      <c r="BK45">
        <v>3.9755536726035103</v>
      </c>
      <c r="BL45">
        <v>4.2019363581596281</v>
      </c>
      <c r="BM45">
        <v>4.45560283332631</v>
      </c>
      <c r="BN45">
        <v>4.7417897545190471</v>
      </c>
      <c r="BO45">
        <v>5.0671617258531967</v>
      </c>
      <c r="BP45">
        <v>5.4403320310055108</v>
      </c>
      <c r="BQ45">
        <v>5.8726282810667954</v>
      </c>
      <c r="BR45">
        <v>6.3792481676131274</v>
      </c>
      <c r="BT45">
        <v>8.7461622625552025</v>
      </c>
      <c r="BU45">
        <v>9.2110265408166754</v>
      </c>
      <c r="BV45">
        <v>9.7275785514016064</v>
      </c>
      <c r="BW45">
        <v>10.30484646876603</v>
      </c>
      <c r="BX45">
        <v>10.954062643398331</v>
      </c>
      <c r="BY45">
        <v>11.689369175439182</v>
      </c>
      <c r="BZ45">
        <v>12.528807709151508</v>
      </c>
      <c r="CA45">
        <v>13.495733280795804</v>
      </c>
      <c r="CB45">
        <v>14.620873988631658</v>
      </c>
      <c r="CD45">
        <v>2.4955732833842745</v>
      </c>
      <c r="CE45">
        <v>2.5830206686350579</v>
      </c>
      <c r="CF45">
        <v>2.6768144670864729</v>
      </c>
      <c r="CG45">
        <v>2.7776710078858713</v>
      </c>
      <c r="CH45">
        <v>2.8864185438646075</v>
      </c>
      <c r="CI45">
        <v>3.0040199786950694</v>
      </c>
      <c r="CJ45">
        <v>3.1316013606210618</v>
      </c>
      <c r="CK45">
        <v>3.270487923183552</v>
      </c>
      <c r="CL45">
        <v>3.4222501097837466</v>
      </c>
      <c r="CN45">
        <v>5.8067269055315762</v>
      </c>
      <c r="CO45">
        <v>6.0090059574945229</v>
      </c>
      <c r="CP45">
        <v>6.225829064425767</v>
      </c>
      <c r="CQ45">
        <v>6.4588163787186517</v>
      </c>
      <c r="CR45">
        <v>6.709836807756929</v>
      </c>
      <c r="CS45">
        <v>6.981057406829791</v>
      </c>
      <c r="CT45">
        <v>7.2750049578892515</v>
      </c>
      <c r="CU45">
        <v>7.5946433685914343</v>
      </c>
      <c r="CV45">
        <v>7.9434718105903954</v>
      </c>
      <c r="CX45">
        <v>173.01894259317021</v>
      </c>
      <c r="CY45">
        <v>173.62075183238687</v>
      </c>
      <c r="CZ45">
        <v>174.1273717189332</v>
      </c>
      <c r="DA45">
        <v>174.55966796899449</v>
      </c>
      <c r="DB45">
        <v>174.9328382741468</v>
      </c>
      <c r="DC45">
        <v>175.25821024548094</v>
      </c>
      <c r="DD45">
        <v>175.54439716667369</v>
      </c>
      <c r="DE45">
        <v>175.79806364184037</v>
      </c>
      <c r="DF45">
        <v>176.0244463273965</v>
      </c>
      <c r="DH45">
        <v>164.05460409907715</v>
      </c>
      <c r="DI45">
        <v>165.37912601136833</v>
      </c>
      <c r="DJ45">
        <v>166.5042667192042</v>
      </c>
      <c r="DK45">
        <v>167.47119229084848</v>
      </c>
      <c r="DL45">
        <v>168.3106308245608</v>
      </c>
      <c r="DM45">
        <v>169.04593735660166</v>
      </c>
      <c r="DN45">
        <v>169.69515353123398</v>
      </c>
      <c r="DO45">
        <v>170.27242144859838</v>
      </c>
      <c r="DP45">
        <v>170.78897345918332</v>
      </c>
      <c r="DR45">
        <v>111.25050550713323</v>
      </c>
      <c r="DS45">
        <v>139.39870535499554</v>
      </c>
      <c r="DT45">
        <v>152.78388844269253</v>
      </c>
      <c r="DU45">
        <v>159.8293465881496</v>
      </c>
      <c r="DV45">
        <v>164.05460409907715</v>
      </c>
      <c r="DW45">
        <v>166.8424572599852</v>
      </c>
      <c r="DX45">
        <v>168.8112000717482</v>
      </c>
      <c r="DY45">
        <v>170.27242144859838</v>
      </c>
      <c r="DZ45">
        <v>171.39861514128512</v>
      </c>
      <c r="EB45">
        <v>99.462322208025611</v>
      </c>
      <c r="EC45">
        <v>116.56505117707799</v>
      </c>
      <c r="ED45">
        <v>129.80557109226521</v>
      </c>
      <c r="EE45">
        <v>139.39870535499554</v>
      </c>
      <c r="EF45">
        <v>146.30993247402023</v>
      </c>
      <c r="EG45">
        <v>151.38954033403479</v>
      </c>
      <c r="EH45">
        <v>155.22485943116808</v>
      </c>
      <c r="EI45">
        <v>158.19859051364818</v>
      </c>
      <c r="EJ45">
        <v>160.55996517182382</v>
      </c>
      <c r="EL45">
        <v>7.7074857229649751</v>
      </c>
      <c r="EM45">
        <v>8.6013848587148942</v>
      </c>
      <c r="EN45">
        <v>9.7275785514016064</v>
      </c>
      <c r="EO45">
        <v>11.188799928251811</v>
      </c>
      <c r="EP45">
        <v>13.157542740014804</v>
      </c>
      <c r="EQ45">
        <v>15.945395900922847</v>
      </c>
      <c r="ER45">
        <v>20.170653411850395</v>
      </c>
      <c r="ES45">
        <v>27.216111557307471</v>
      </c>
      <c r="ET45">
        <v>40.601294645004458</v>
      </c>
      <c r="EV45">
        <v>17.525568373722876</v>
      </c>
      <c r="EW45">
        <v>19.440034828176195</v>
      </c>
      <c r="EX45">
        <v>21.801409486351815</v>
      </c>
      <c r="EY45">
        <v>24.775140568831915</v>
      </c>
      <c r="EZ45">
        <v>28.610459665965209</v>
      </c>
      <c r="FA45">
        <v>33.690067525979785</v>
      </c>
      <c r="FB45">
        <v>40.601294645004465</v>
      </c>
      <c r="FC45">
        <v>50.194428907734803</v>
      </c>
      <c r="FD45">
        <v>63.43494882292201</v>
      </c>
      <c r="FF45">
        <v>3.7722836093798406</v>
      </c>
      <c r="FG45">
        <v>3.9755536726035103</v>
      </c>
      <c r="FH45">
        <v>4.2019363581596281</v>
      </c>
      <c r="FI45">
        <v>4.45560283332631</v>
      </c>
      <c r="FJ45">
        <v>4.7417897545190471</v>
      </c>
      <c r="FK45">
        <v>5.0671617258531967</v>
      </c>
      <c r="FL45">
        <v>5.4403320310055108</v>
      </c>
      <c r="FM45">
        <v>5.8726282810667954</v>
      </c>
      <c r="FN45">
        <v>6.3792481676131274</v>
      </c>
      <c r="FP45">
        <v>8.7461622625552025</v>
      </c>
      <c r="FQ45">
        <v>9.2110265408166754</v>
      </c>
      <c r="FR45">
        <v>9.7275785514016064</v>
      </c>
      <c r="FS45">
        <v>10.30484646876603</v>
      </c>
      <c r="FT45">
        <v>10.954062643398331</v>
      </c>
      <c r="FU45">
        <v>11.689369175439182</v>
      </c>
      <c r="FV45">
        <v>12.528807709151508</v>
      </c>
      <c r="FW45">
        <v>13.495733280795804</v>
      </c>
      <c r="FX45">
        <v>14.620873988631658</v>
      </c>
      <c r="FZ45">
        <v>2.4955732833842745</v>
      </c>
      <c r="GA45">
        <v>2.5830206686350579</v>
      </c>
      <c r="GB45">
        <v>2.6768144670864729</v>
      </c>
      <c r="GC45">
        <v>2.7776710078858713</v>
      </c>
      <c r="GD45">
        <v>2.8864185438646075</v>
      </c>
      <c r="GE45">
        <v>3.0040199786950694</v>
      </c>
      <c r="GF45">
        <v>3.1316013606210618</v>
      </c>
      <c r="GG45">
        <v>3.270487923183552</v>
      </c>
      <c r="GH45">
        <v>3.4222501097837466</v>
      </c>
      <c r="GJ45">
        <v>5.8067269055315762</v>
      </c>
      <c r="GK45">
        <v>6.0090059574945229</v>
      </c>
      <c r="GL45">
        <v>6.225829064425767</v>
      </c>
      <c r="GM45">
        <v>6.4588163787186517</v>
      </c>
      <c r="GN45">
        <v>6.709836807756929</v>
      </c>
      <c r="GO45">
        <v>6.981057406829791</v>
      </c>
      <c r="GP45">
        <v>7.2750049578892515</v>
      </c>
      <c r="GQ45">
        <v>7.5946433685914343</v>
      </c>
      <c r="GR45">
        <v>7.9434718105903954</v>
      </c>
      <c r="GS45">
        <v>8.3256503304268392</v>
      </c>
    </row>
    <row r="46" spans="2:201">
      <c r="B46">
        <v>180</v>
      </c>
      <c r="C46">
        <v>180</v>
      </c>
      <c r="D46">
        <v>180</v>
      </c>
      <c r="E46">
        <v>180</v>
      </c>
      <c r="F46">
        <v>180</v>
      </c>
      <c r="G46">
        <v>180</v>
      </c>
      <c r="H46">
        <v>180</v>
      </c>
      <c r="I46">
        <v>180</v>
      </c>
      <c r="J46">
        <v>180</v>
      </c>
      <c r="L46">
        <v>166.976920329395</v>
      </c>
      <c r="M46">
        <v>168.07547606238808</v>
      </c>
      <c r="N46">
        <v>169.00522265070788</v>
      </c>
      <c r="O46">
        <v>169.8018991543766</v>
      </c>
      <c r="P46">
        <v>170.4919143995391</v>
      </c>
      <c r="Q46">
        <v>171.09517900967796</v>
      </c>
      <c r="R46">
        <v>171.62697332521759</v>
      </c>
      <c r="S46">
        <v>172.0992105761602</v>
      </c>
      <c r="T46">
        <v>172.52131049185175</v>
      </c>
      <c r="V46">
        <v>124.99202019855866</v>
      </c>
      <c r="W46">
        <v>154.53665493812838</v>
      </c>
      <c r="X46">
        <v>164.05460409907715</v>
      </c>
      <c r="Y46">
        <v>168.46537934635529</v>
      </c>
      <c r="Z46">
        <v>170.98067756861832</v>
      </c>
      <c r="AA46">
        <v>172.6004053401129</v>
      </c>
      <c r="AB46">
        <v>173.72892255049885</v>
      </c>
      <c r="AC46">
        <v>174.55966796899449</v>
      </c>
      <c r="AD46">
        <v>175.19651424093092</v>
      </c>
      <c r="AF46">
        <v>101.63363399894044</v>
      </c>
      <c r="AG46">
        <v>121.70142966950571</v>
      </c>
      <c r="AH46">
        <v>135.83031548625803</v>
      </c>
      <c r="AI46">
        <v>145.24408744645862</v>
      </c>
      <c r="AJ46">
        <v>151.64503821467594</v>
      </c>
      <c r="AK46">
        <v>156.17573941710458</v>
      </c>
      <c r="AL46">
        <v>159.51298580666929</v>
      </c>
      <c r="AM46">
        <v>162.05755291084134</v>
      </c>
      <c r="AN46">
        <v>164.05460409907715</v>
      </c>
      <c r="AP46">
        <v>4.299862820192061</v>
      </c>
      <c r="AQ46">
        <v>4.8034857590690763</v>
      </c>
      <c r="AR46">
        <v>5.4403320310055108</v>
      </c>
      <c r="AS46">
        <v>6.271077449501135</v>
      </c>
      <c r="AT46">
        <v>7.3995946598871001</v>
      </c>
      <c r="AU46">
        <v>9.0193224313816813</v>
      </c>
      <c r="AV46">
        <v>11.534620653644723</v>
      </c>
      <c r="AW46">
        <v>15.945395900922847</v>
      </c>
      <c r="AX46">
        <v>25.463345061871607</v>
      </c>
      <c r="AZ46">
        <v>14.339928501342243</v>
      </c>
      <c r="BA46">
        <v>15.945395900922847</v>
      </c>
      <c r="BB46">
        <v>17.942447089158662</v>
      </c>
      <c r="BC46">
        <v>20.487014193330694</v>
      </c>
      <c r="BD46">
        <v>23.82426058289542</v>
      </c>
      <c r="BE46">
        <v>28.354961785324058</v>
      </c>
      <c r="BF46">
        <v>34.755912553541371</v>
      </c>
      <c r="BG46">
        <v>44.169684513741984</v>
      </c>
      <c r="BH46">
        <v>58.298570330494286</v>
      </c>
      <c r="BJ46">
        <v>2.0978085861921443</v>
      </c>
      <c r="BK46">
        <v>2.2110939771710747</v>
      </c>
      <c r="BL46">
        <v>2.3373058591238163</v>
      </c>
      <c r="BM46">
        <v>2.4787891085783258</v>
      </c>
      <c r="BN46">
        <v>2.638491825411208</v>
      </c>
      <c r="BO46">
        <v>2.8201724724484762</v>
      </c>
      <c r="BP46">
        <v>3.0286985783405811</v>
      </c>
      <c r="BQ46">
        <v>3.270487923183552</v>
      </c>
      <c r="BR46">
        <v>3.5541782355320919</v>
      </c>
      <c r="BT46">
        <v>7.0991841687255572</v>
      </c>
      <c r="BU46">
        <v>7.4786895081482498</v>
      </c>
      <c r="BV46">
        <v>7.9007894238397967</v>
      </c>
      <c r="BW46">
        <v>8.3730266747823947</v>
      </c>
      <c r="BX46">
        <v>8.904820990322051</v>
      </c>
      <c r="BY46">
        <v>9.508085600460916</v>
      </c>
      <c r="BZ46">
        <v>10.198100845623401</v>
      </c>
      <c r="CA46">
        <v>10.994777349292121</v>
      </c>
      <c r="CB46">
        <v>11.924523937611909</v>
      </c>
      <c r="CD46">
        <v>1.3870359917806496</v>
      </c>
      <c r="CE46">
        <v>1.4356838973417467</v>
      </c>
      <c r="CF46">
        <v>1.4878675288277776</v>
      </c>
      <c r="CG46">
        <v>1.5439867897975148</v>
      </c>
      <c r="CH46">
        <v>1.6045042375623524</v>
      </c>
      <c r="CI46">
        <v>1.6699578498741658</v>
      </c>
      <c r="CJ46">
        <v>1.7409770449283286</v>
      </c>
      <c r="CK46">
        <v>1.8183029644518314</v>
      </c>
      <c r="CL46">
        <v>1.9028144043150235</v>
      </c>
      <c r="CN46">
        <v>4.7062311092252997</v>
      </c>
      <c r="CO46">
        <v>4.8705810140005639</v>
      </c>
      <c r="CP46">
        <v>5.0467942907751677</v>
      </c>
      <c r="CQ46">
        <v>5.2361998210000706</v>
      </c>
      <c r="CR46">
        <v>5.4403320310055108</v>
      </c>
      <c r="CS46">
        <v>5.6609720937453432</v>
      </c>
      <c r="CT46">
        <v>5.900199417274834</v>
      </c>
      <c r="CU46">
        <v>6.1604565335906045</v>
      </c>
      <c r="CV46">
        <v>6.44463162205777</v>
      </c>
      <c r="CX46">
        <v>176.10832370591925</v>
      </c>
      <c r="CY46">
        <v>176.44582176446789</v>
      </c>
      <c r="CZ46">
        <v>176.72951207681643</v>
      </c>
      <c r="DA46">
        <v>176.9713014216594</v>
      </c>
      <c r="DB46">
        <v>177.17982752755154</v>
      </c>
      <c r="DC46">
        <v>177.36150817458878</v>
      </c>
      <c r="DD46">
        <v>177.52121089142167</v>
      </c>
      <c r="DE46">
        <v>177.66269414087617</v>
      </c>
      <c r="DF46">
        <v>177.78890602282894</v>
      </c>
      <c r="DH46">
        <v>166.976920329395</v>
      </c>
      <c r="DI46">
        <v>168.07547606238808</v>
      </c>
      <c r="DJ46">
        <v>169.00522265070788</v>
      </c>
      <c r="DK46">
        <v>169.8018991543766</v>
      </c>
      <c r="DL46">
        <v>170.4919143995391</v>
      </c>
      <c r="DM46">
        <v>171.09517900967796</v>
      </c>
      <c r="DN46">
        <v>171.62697332521759</v>
      </c>
      <c r="DO46">
        <v>172.0992105761602</v>
      </c>
      <c r="DP46">
        <v>172.52131049185175</v>
      </c>
      <c r="DR46">
        <v>124.99202019855866</v>
      </c>
      <c r="DS46">
        <v>154.53665493812838</v>
      </c>
      <c r="DT46">
        <v>164.05460409907715</v>
      </c>
      <c r="DU46">
        <v>168.46537934635529</v>
      </c>
      <c r="DV46">
        <v>170.98067756861832</v>
      </c>
      <c r="DW46">
        <v>172.6004053401129</v>
      </c>
      <c r="DX46">
        <v>173.72892255049885</v>
      </c>
      <c r="DY46">
        <v>174.55966796899449</v>
      </c>
      <c r="DZ46">
        <v>175.19651424093092</v>
      </c>
      <c r="EB46">
        <v>101.63363399894044</v>
      </c>
      <c r="EC46">
        <v>121.70142966950571</v>
      </c>
      <c r="ED46">
        <v>135.83031548625803</v>
      </c>
      <c r="EE46">
        <v>145.24408744645862</v>
      </c>
      <c r="EF46">
        <v>151.64503821467594</v>
      </c>
      <c r="EG46">
        <v>156.17573941710458</v>
      </c>
      <c r="EH46">
        <v>159.51298580666929</v>
      </c>
      <c r="EI46">
        <v>162.05755291084134</v>
      </c>
      <c r="EJ46">
        <v>164.05460409907715</v>
      </c>
      <c r="EL46">
        <v>4.299862820192061</v>
      </c>
      <c r="EM46">
        <v>4.8034857590690763</v>
      </c>
      <c r="EN46">
        <v>5.4403320310055108</v>
      </c>
      <c r="EO46">
        <v>6.271077449501135</v>
      </c>
      <c r="EP46">
        <v>7.3995946598871001</v>
      </c>
      <c r="EQ46">
        <v>9.0193224313816813</v>
      </c>
      <c r="ER46">
        <v>11.534620653644723</v>
      </c>
      <c r="ES46">
        <v>15.945395900922847</v>
      </c>
      <c r="ET46">
        <v>25.463345061871607</v>
      </c>
      <c r="EV46">
        <v>14.339928501342243</v>
      </c>
      <c r="EW46">
        <v>15.945395900922847</v>
      </c>
      <c r="EX46">
        <v>17.942447089158662</v>
      </c>
      <c r="EY46">
        <v>20.487014193330694</v>
      </c>
      <c r="EZ46">
        <v>23.82426058289542</v>
      </c>
      <c r="FA46">
        <v>28.354961785324058</v>
      </c>
      <c r="FB46">
        <v>34.755912553541371</v>
      </c>
      <c r="FC46">
        <v>44.169684513741984</v>
      </c>
      <c r="FD46">
        <v>58.298570330494286</v>
      </c>
      <c r="FF46">
        <v>2.0978085861921443</v>
      </c>
      <c r="FG46">
        <v>2.2110939771710747</v>
      </c>
      <c r="FH46">
        <v>2.3373058591238163</v>
      </c>
      <c r="FI46">
        <v>2.4787891085783258</v>
      </c>
      <c r="FJ46">
        <v>2.638491825411208</v>
      </c>
      <c r="FK46">
        <v>2.8201724724484762</v>
      </c>
      <c r="FL46">
        <v>3.0286985783405811</v>
      </c>
      <c r="FM46">
        <v>3.270487923183552</v>
      </c>
      <c r="FN46">
        <v>3.5541782355320919</v>
      </c>
      <c r="FP46">
        <v>7.0991841687255572</v>
      </c>
      <c r="FQ46">
        <v>7.4786895081482498</v>
      </c>
      <c r="FR46">
        <v>7.9007894238397967</v>
      </c>
      <c r="FS46">
        <v>8.3730266747823947</v>
      </c>
      <c r="FT46">
        <v>8.904820990322051</v>
      </c>
      <c r="FU46">
        <v>9.508085600460916</v>
      </c>
      <c r="FV46">
        <v>10.198100845623401</v>
      </c>
      <c r="FW46">
        <v>10.994777349292121</v>
      </c>
      <c r="FX46">
        <v>11.924523937611909</v>
      </c>
      <c r="FZ46">
        <v>1.3870359917806496</v>
      </c>
      <c r="GA46">
        <v>1.4356838973417467</v>
      </c>
      <c r="GB46">
        <v>1.4878675288277776</v>
      </c>
      <c r="GC46">
        <v>1.5439867897975148</v>
      </c>
      <c r="GD46">
        <v>1.6045042375623524</v>
      </c>
      <c r="GE46">
        <v>1.6699578498741658</v>
      </c>
      <c r="GF46">
        <v>1.7409770449283286</v>
      </c>
      <c r="GG46">
        <v>1.8183029644518314</v>
      </c>
      <c r="GH46">
        <v>1.9028144043150235</v>
      </c>
      <c r="GJ46">
        <v>4.7062311092252997</v>
      </c>
      <c r="GK46">
        <v>4.8705810140005639</v>
      </c>
      <c r="GL46">
        <v>5.0467942907751677</v>
      </c>
      <c r="GM46">
        <v>5.2361998210000706</v>
      </c>
      <c r="GN46">
        <v>5.4403320310055108</v>
      </c>
      <c r="GO46">
        <v>5.6609720937453432</v>
      </c>
      <c r="GP46">
        <v>5.900199417274834</v>
      </c>
      <c r="GQ46">
        <v>6.1604565335906045</v>
      </c>
      <c r="GR46">
        <v>6.44463162205777</v>
      </c>
      <c r="GS46">
        <v>6.7561644948615793</v>
      </c>
    </row>
    <row r="47" spans="2:201">
      <c r="B47">
        <v>180</v>
      </c>
      <c r="C47">
        <v>180</v>
      </c>
      <c r="D47">
        <v>180</v>
      </c>
      <c r="E47">
        <v>180</v>
      </c>
      <c r="F47">
        <v>180</v>
      </c>
      <c r="G47">
        <v>180</v>
      </c>
      <c r="H47">
        <v>180</v>
      </c>
      <c r="I47">
        <v>180</v>
      </c>
      <c r="J47">
        <v>180</v>
      </c>
      <c r="L47">
        <v>169.96978668026716</v>
      </c>
      <c r="M47">
        <v>170.82646455771808</v>
      </c>
      <c r="N47">
        <v>171.54930110639793</v>
      </c>
      <c r="O47">
        <v>172.16720443376536</v>
      </c>
      <c r="P47">
        <v>172.70136060825973</v>
      </c>
      <c r="Q47">
        <v>173.167638322583</v>
      </c>
      <c r="R47">
        <v>173.57815161648247</v>
      </c>
      <c r="S47">
        <v>173.94230420547899</v>
      </c>
      <c r="T47">
        <v>174.2675048071784</v>
      </c>
      <c r="V47">
        <v>164.05460409907715</v>
      </c>
      <c r="W47">
        <v>174.55966796899449</v>
      </c>
      <c r="X47">
        <v>176.72951207681643</v>
      </c>
      <c r="Y47">
        <v>177.66269414087617</v>
      </c>
      <c r="Z47">
        <v>178.18169703554815</v>
      </c>
      <c r="AA47">
        <v>178.51213247117221</v>
      </c>
      <c r="AB47">
        <v>178.74095479282474</v>
      </c>
      <c r="AC47">
        <v>178.9087837747374</v>
      </c>
      <c r="AD47">
        <v>179.0371363743638</v>
      </c>
      <c r="AF47">
        <v>105.0684881594922</v>
      </c>
      <c r="AG47">
        <v>128.92754359279229</v>
      </c>
      <c r="AH47">
        <v>143.39292518739251</v>
      </c>
      <c r="AI47">
        <v>152.04903097210982</v>
      </c>
      <c r="AJ47">
        <v>157.57413807864822</v>
      </c>
      <c r="AK47">
        <v>161.34211152588045</v>
      </c>
      <c r="AL47">
        <v>164.05460409907715</v>
      </c>
      <c r="AM47">
        <v>166.09222219014532</v>
      </c>
      <c r="AN47">
        <v>167.67527256586263</v>
      </c>
      <c r="AP47">
        <v>0.86152573456725179</v>
      </c>
      <c r="AQ47">
        <v>0.96286362563621708</v>
      </c>
      <c r="AR47">
        <v>1.0912162252625848</v>
      </c>
      <c r="AS47">
        <v>1.2590452071752622</v>
      </c>
      <c r="AT47">
        <v>1.4878675288277776</v>
      </c>
      <c r="AU47">
        <v>1.8183029644518314</v>
      </c>
      <c r="AV47">
        <v>2.3373058591238163</v>
      </c>
      <c r="AW47">
        <v>3.270487923183552</v>
      </c>
      <c r="AX47">
        <v>5.4403320310055108</v>
      </c>
      <c r="AZ47">
        <v>11.061182461591798</v>
      </c>
      <c r="BA47">
        <v>12.324727434137372</v>
      </c>
      <c r="BB47">
        <v>13.907777809854693</v>
      </c>
      <c r="BC47">
        <v>15.945395900922847</v>
      </c>
      <c r="BD47">
        <v>18.657888474119531</v>
      </c>
      <c r="BE47">
        <v>22.425861921351796</v>
      </c>
      <c r="BF47">
        <v>27.950969027890174</v>
      </c>
      <c r="BG47">
        <v>36.607074812607493</v>
      </c>
      <c r="BH47">
        <v>51.072456407207696</v>
      </c>
      <c r="BJ47">
        <v>0.4197417913353263</v>
      </c>
      <c r="BK47">
        <v>0.44242965803947243</v>
      </c>
      <c r="BL47">
        <v>0.46771026003851546</v>
      </c>
      <c r="BM47">
        <v>0.49605496039524155</v>
      </c>
      <c r="BN47">
        <v>0.52805674890016974</v>
      </c>
      <c r="BO47">
        <v>0.56447217530696037</v>
      </c>
      <c r="BP47">
        <v>0.6062819155173429</v>
      </c>
      <c r="BQ47">
        <v>0.65478040226768996</v>
      </c>
      <c r="BR47">
        <v>0.71171220603568486</v>
      </c>
      <c r="BT47">
        <v>5.4403320310055108</v>
      </c>
      <c r="BU47">
        <v>5.7324951928216166</v>
      </c>
      <c r="BV47">
        <v>6.0576957945209955</v>
      </c>
      <c r="BW47">
        <v>6.4218483835175277</v>
      </c>
      <c r="BX47">
        <v>6.8323616774169835</v>
      </c>
      <c r="BY47">
        <v>7.2986393917402808</v>
      </c>
      <c r="BZ47">
        <v>7.8327955662346369</v>
      </c>
      <c r="CA47">
        <v>8.450698893602052</v>
      </c>
      <c r="CB47">
        <v>9.1735354422819171</v>
      </c>
      <c r="CD47">
        <v>0.27745923312251364</v>
      </c>
      <c r="CE47">
        <v>0.28719448450716811</v>
      </c>
      <c r="CF47">
        <v>0.29763773572349805</v>
      </c>
      <c r="CG47">
        <v>0.3088691347519017</v>
      </c>
      <c r="CH47">
        <v>0.32098140119357765</v>
      </c>
      <c r="CI47">
        <v>0.33408239174853804</v>
      </c>
      <c r="CJ47">
        <v>0.348298320658742</v>
      </c>
      <c r="CK47">
        <v>0.36377783886456427</v>
      </c>
      <c r="CL47">
        <v>0.38069725142676702</v>
      </c>
      <c r="CN47">
        <v>3.6022444333064101</v>
      </c>
      <c r="CO47">
        <v>3.7282885041812364</v>
      </c>
      <c r="CP47">
        <v>3.8634592208828451</v>
      </c>
      <c r="CQ47">
        <v>4.0087834052276037</v>
      </c>
      <c r="CR47">
        <v>4.1654476312998554</v>
      </c>
      <c r="CS47">
        <v>4.3348304879090023</v>
      </c>
      <c r="CT47">
        <v>4.5185429714664735</v>
      </c>
      <c r="CU47">
        <v>4.7184794986764871</v>
      </c>
      <c r="CV47">
        <v>4.9368829370095</v>
      </c>
      <c r="CX47">
        <v>179.22051367888153</v>
      </c>
      <c r="CY47">
        <v>179.28828779396432</v>
      </c>
      <c r="CZ47">
        <v>179.3452195977323</v>
      </c>
      <c r="DA47">
        <v>179.39371808448266</v>
      </c>
      <c r="DB47">
        <v>179.43552782469305</v>
      </c>
      <c r="DC47">
        <v>179.47194325109984</v>
      </c>
      <c r="DD47">
        <v>179.50394503960476</v>
      </c>
      <c r="DE47">
        <v>179.53228973996147</v>
      </c>
      <c r="DF47">
        <v>179.55757034196051</v>
      </c>
      <c r="DH47">
        <v>169.96978668026716</v>
      </c>
      <c r="DI47">
        <v>170.82646455771808</v>
      </c>
      <c r="DJ47">
        <v>171.54930110639793</v>
      </c>
      <c r="DK47">
        <v>172.16720443376536</v>
      </c>
      <c r="DL47">
        <v>172.70136060825973</v>
      </c>
      <c r="DM47">
        <v>173.167638322583</v>
      </c>
      <c r="DN47">
        <v>173.57815161648247</v>
      </c>
      <c r="DO47">
        <v>173.94230420547899</v>
      </c>
      <c r="DP47">
        <v>174.2675048071784</v>
      </c>
      <c r="DR47">
        <v>164.05460409907715</v>
      </c>
      <c r="DS47">
        <v>174.55966796899449</v>
      </c>
      <c r="DT47">
        <v>176.72951207681643</v>
      </c>
      <c r="DU47">
        <v>177.66269414087617</v>
      </c>
      <c r="DV47">
        <v>178.18169703554815</v>
      </c>
      <c r="DW47">
        <v>178.51213247117221</v>
      </c>
      <c r="DX47">
        <v>178.74095479282474</v>
      </c>
      <c r="DY47">
        <v>178.9087837747374</v>
      </c>
      <c r="DZ47">
        <v>179.0371363743638</v>
      </c>
      <c r="EB47">
        <v>105.0684881594922</v>
      </c>
      <c r="EC47">
        <v>128.92754359279229</v>
      </c>
      <c r="ED47">
        <v>143.39292518739251</v>
      </c>
      <c r="EE47">
        <v>152.04903097210982</v>
      </c>
      <c r="EF47">
        <v>157.57413807864822</v>
      </c>
      <c r="EG47">
        <v>161.34211152588045</v>
      </c>
      <c r="EH47">
        <v>164.05460409907715</v>
      </c>
      <c r="EI47">
        <v>166.09222219014532</v>
      </c>
      <c r="EJ47">
        <v>167.67527256586263</v>
      </c>
      <c r="EL47">
        <v>0.86152573456725179</v>
      </c>
      <c r="EM47">
        <v>0.96286362563621708</v>
      </c>
      <c r="EN47">
        <v>1.0912162252625848</v>
      </c>
      <c r="EO47">
        <v>1.2590452071752622</v>
      </c>
      <c r="EP47">
        <v>1.4878675288277776</v>
      </c>
      <c r="EQ47">
        <v>1.8183029644518314</v>
      </c>
      <c r="ER47">
        <v>2.3373058591238163</v>
      </c>
      <c r="ES47">
        <v>3.270487923183552</v>
      </c>
      <c r="ET47">
        <v>5.4403320310055108</v>
      </c>
      <c r="EV47">
        <v>11.061182461591798</v>
      </c>
      <c r="EW47">
        <v>12.324727434137372</v>
      </c>
      <c r="EX47">
        <v>13.907777809854693</v>
      </c>
      <c r="EY47">
        <v>15.945395900922847</v>
      </c>
      <c r="EZ47">
        <v>18.657888474119531</v>
      </c>
      <c r="FA47">
        <v>22.425861921351796</v>
      </c>
      <c r="FB47">
        <v>27.950969027890174</v>
      </c>
      <c r="FC47">
        <v>36.607074812607493</v>
      </c>
      <c r="FD47">
        <v>51.072456407207696</v>
      </c>
      <c r="FF47">
        <v>0.4197417913353263</v>
      </c>
      <c r="FG47">
        <v>0.44242965803947243</v>
      </c>
      <c r="FH47">
        <v>0.46771026003851546</v>
      </c>
      <c r="FI47">
        <v>0.49605496039524155</v>
      </c>
      <c r="FJ47">
        <v>0.52805674890016974</v>
      </c>
      <c r="FK47">
        <v>0.56447217530696037</v>
      </c>
      <c r="FL47">
        <v>0.6062819155173429</v>
      </c>
      <c r="FM47">
        <v>0.65478040226768996</v>
      </c>
      <c r="FN47">
        <v>0.71171220603568486</v>
      </c>
      <c r="FP47">
        <v>5.4403320310055108</v>
      </c>
      <c r="FQ47">
        <v>5.7324951928216166</v>
      </c>
      <c r="FR47">
        <v>6.0576957945209955</v>
      </c>
      <c r="FS47">
        <v>6.4218483835175277</v>
      </c>
      <c r="FT47">
        <v>6.8323616774169835</v>
      </c>
      <c r="FU47">
        <v>7.2986393917402808</v>
      </c>
      <c r="FV47">
        <v>7.8327955662346369</v>
      </c>
      <c r="FW47">
        <v>8.450698893602052</v>
      </c>
      <c r="FX47">
        <v>9.1735354422819171</v>
      </c>
      <c r="FZ47">
        <v>0.27745923312251364</v>
      </c>
      <c r="GA47">
        <v>0.28719448450716811</v>
      </c>
      <c r="GB47">
        <v>0.29763773572349805</v>
      </c>
      <c r="GC47">
        <v>0.3088691347519017</v>
      </c>
      <c r="GD47">
        <v>0.32098140119357765</v>
      </c>
      <c r="GE47">
        <v>0.33408239174853804</v>
      </c>
      <c r="GF47">
        <v>0.348298320658742</v>
      </c>
      <c r="GG47">
        <v>0.36377783886456427</v>
      </c>
      <c r="GH47">
        <v>0.38069725142676702</v>
      </c>
      <c r="GJ47">
        <v>3.6022444333064101</v>
      </c>
      <c r="GK47">
        <v>3.7282885041812364</v>
      </c>
      <c r="GL47">
        <v>3.8634592208828451</v>
      </c>
      <c r="GM47">
        <v>4.0087834052276037</v>
      </c>
      <c r="GN47">
        <v>4.1654476312998554</v>
      </c>
      <c r="GO47">
        <v>4.3348304879090023</v>
      </c>
      <c r="GP47">
        <v>4.5185429714664735</v>
      </c>
      <c r="GQ47">
        <v>4.7184794986764871</v>
      </c>
      <c r="GR47">
        <v>4.9368829370095</v>
      </c>
      <c r="GS47">
        <v>5.1764283492591403</v>
      </c>
    </row>
    <row r="48" spans="2:201">
      <c r="B48">
        <v>177.66269414087617</v>
      </c>
      <c r="C48">
        <v>177.86574123749773</v>
      </c>
      <c r="D48">
        <v>178.03634246594805</v>
      </c>
      <c r="E48">
        <v>178.18169703554815</v>
      </c>
      <c r="F48">
        <v>178.30702156237112</v>
      </c>
      <c r="G48">
        <v>178.41618842913806</v>
      </c>
      <c r="H48">
        <v>178.51213247117221</v>
      </c>
      <c r="I48">
        <v>178.59711846734854</v>
      </c>
      <c r="J48">
        <v>178.6729220091259</v>
      </c>
      <c r="L48">
        <v>173.01894259317021</v>
      </c>
      <c r="M48">
        <v>173.62075183238687</v>
      </c>
      <c r="N48">
        <v>174.1273717189332</v>
      </c>
      <c r="O48">
        <v>174.55966796899449</v>
      </c>
      <c r="P48">
        <v>174.9328382741468</v>
      </c>
      <c r="Q48">
        <v>175.25821024548094</v>
      </c>
      <c r="R48">
        <v>175.54439716667369</v>
      </c>
      <c r="S48">
        <v>175.79806364184037</v>
      </c>
      <c r="T48">
        <v>176.0244463273965</v>
      </c>
      <c r="V48">
        <v>139.39870535499554</v>
      </c>
      <c r="W48">
        <v>164.05460409907715</v>
      </c>
      <c r="X48">
        <v>170.27242144859838</v>
      </c>
      <c r="Y48">
        <v>173.01894259317021</v>
      </c>
      <c r="Z48">
        <v>174.55966796899449</v>
      </c>
      <c r="AA48">
        <v>175.54439716667369</v>
      </c>
      <c r="AB48">
        <v>176.22771639062017</v>
      </c>
      <c r="AC48">
        <v>176.72951207681643</v>
      </c>
      <c r="AD48">
        <v>177.11358145613539</v>
      </c>
      <c r="AF48">
        <v>111.25050550713324</v>
      </c>
      <c r="AG48">
        <v>139.39870535499554</v>
      </c>
      <c r="AH48">
        <v>152.78388844269253</v>
      </c>
      <c r="AI48">
        <v>159.8293465881496</v>
      </c>
      <c r="AJ48">
        <v>164.05460409907715</v>
      </c>
      <c r="AK48">
        <v>166.8424572599852</v>
      </c>
      <c r="AL48">
        <v>168.8112000717482</v>
      </c>
      <c r="AM48">
        <v>170.27242144859838</v>
      </c>
      <c r="AN48">
        <v>171.39861514128512</v>
      </c>
      <c r="AP48">
        <v>2.5830206686350579</v>
      </c>
      <c r="AQ48">
        <v>2.8864185438646075</v>
      </c>
      <c r="AR48">
        <v>3.270487923183552</v>
      </c>
      <c r="AS48">
        <v>3.7722836093798406</v>
      </c>
      <c r="AT48">
        <v>4.45560283332631</v>
      </c>
      <c r="AU48">
        <v>5.4403320310055108</v>
      </c>
      <c r="AV48">
        <v>6.981057406829791</v>
      </c>
      <c r="AW48">
        <v>9.7275785514016064</v>
      </c>
      <c r="AX48">
        <v>15.945395900922847</v>
      </c>
      <c r="AZ48">
        <v>7.7074857229649751</v>
      </c>
      <c r="BA48">
        <v>8.6013848587148942</v>
      </c>
      <c r="BB48">
        <v>9.7275785514016064</v>
      </c>
      <c r="BC48">
        <v>11.188799928251811</v>
      </c>
      <c r="BD48">
        <v>13.157542740014804</v>
      </c>
      <c r="BE48">
        <v>15.945395900922847</v>
      </c>
      <c r="BF48">
        <v>20.170653411850395</v>
      </c>
      <c r="BG48">
        <v>27.216111557307471</v>
      </c>
      <c r="BH48">
        <v>40.601294645004465</v>
      </c>
      <c r="BJ48">
        <v>1.2590452071752622</v>
      </c>
      <c r="BK48">
        <v>1.3270779908741019</v>
      </c>
      <c r="BL48">
        <v>1.4028815326514632</v>
      </c>
      <c r="BM48">
        <v>1.4878675288277776</v>
      </c>
      <c r="BN48">
        <v>1.5838115708619398</v>
      </c>
      <c r="BO48">
        <v>1.692978437628895</v>
      </c>
      <c r="BP48">
        <v>1.8183029644518314</v>
      </c>
      <c r="BQ48">
        <v>1.9636575340519613</v>
      </c>
      <c r="BR48">
        <v>2.1342587625022844</v>
      </c>
      <c r="BT48">
        <v>3.7722836093798406</v>
      </c>
      <c r="BU48">
        <v>3.9755536726035103</v>
      </c>
      <c r="BV48">
        <v>4.2019363581596281</v>
      </c>
      <c r="BW48">
        <v>4.45560283332631</v>
      </c>
      <c r="BX48">
        <v>4.7417897545190471</v>
      </c>
      <c r="BY48">
        <v>5.0671617258531967</v>
      </c>
      <c r="BZ48">
        <v>5.4403320310055108</v>
      </c>
      <c r="CA48">
        <v>5.8726282810667954</v>
      </c>
      <c r="CB48">
        <v>6.3792481676131274</v>
      </c>
      <c r="CD48">
        <v>0.83232565288922444</v>
      </c>
      <c r="CE48">
        <v>0.86152573456725179</v>
      </c>
      <c r="CF48">
        <v>0.89284896057698404</v>
      </c>
      <c r="CG48">
        <v>0.92653560744399499</v>
      </c>
      <c r="CH48">
        <v>0.96286362563621708</v>
      </c>
      <c r="CI48">
        <v>1.0021563238376388</v>
      </c>
      <c r="CJ48">
        <v>1.0447920138064859</v>
      </c>
      <c r="CK48">
        <v>1.0912162252625848</v>
      </c>
      <c r="CL48">
        <v>1.1419573267890257</v>
      </c>
      <c r="CN48">
        <v>2.4955732833842745</v>
      </c>
      <c r="CO48">
        <v>2.5830206686350579</v>
      </c>
      <c r="CP48">
        <v>2.6768144670864729</v>
      </c>
      <c r="CQ48">
        <v>2.7776710078858713</v>
      </c>
      <c r="CR48">
        <v>2.8864185438646075</v>
      </c>
      <c r="CS48">
        <v>3.0040199786950694</v>
      </c>
      <c r="CT48">
        <v>3.1316013606210618</v>
      </c>
      <c r="CU48">
        <v>3.270487923183552</v>
      </c>
      <c r="CV48">
        <v>3.4222501097837466</v>
      </c>
      <c r="CX48">
        <v>177.66269414087617</v>
      </c>
      <c r="CY48">
        <v>177.86574123749773</v>
      </c>
      <c r="CZ48">
        <v>178.03634246594805</v>
      </c>
      <c r="DA48">
        <v>178.18169703554815</v>
      </c>
      <c r="DB48">
        <v>178.30702156237112</v>
      </c>
      <c r="DC48">
        <v>178.41618842913806</v>
      </c>
      <c r="DD48">
        <v>178.51213247117221</v>
      </c>
      <c r="DE48">
        <v>178.59711846734854</v>
      </c>
      <c r="DF48">
        <v>178.6729220091259</v>
      </c>
      <c r="DH48">
        <v>173.01894259317021</v>
      </c>
      <c r="DI48">
        <v>173.62075183238687</v>
      </c>
      <c r="DJ48">
        <v>174.1273717189332</v>
      </c>
      <c r="DK48">
        <v>174.55966796899449</v>
      </c>
      <c r="DL48">
        <v>174.9328382741468</v>
      </c>
      <c r="DM48">
        <v>175.25821024548094</v>
      </c>
      <c r="DN48">
        <v>175.54439716667369</v>
      </c>
      <c r="DO48">
        <v>175.79806364184037</v>
      </c>
      <c r="DP48">
        <v>176.0244463273965</v>
      </c>
      <c r="DR48">
        <v>139.39870535499554</v>
      </c>
      <c r="DS48">
        <v>164.05460409907715</v>
      </c>
      <c r="DT48">
        <v>170.27242144859838</v>
      </c>
      <c r="DU48">
        <v>173.01894259317021</v>
      </c>
      <c r="DV48">
        <v>174.55966796899449</v>
      </c>
      <c r="DW48">
        <v>175.54439716667369</v>
      </c>
      <c r="DX48">
        <v>176.22771639062017</v>
      </c>
      <c r="DY48">
        <v>176.72951207681643</v>
      </c>
      <c r="DZ48">
        <v>177.11358145613539</v>
      </c>
      <c r="EB48">
        <v>111.25050550713324</v>
      </c>
      <c r="EC48">
        <v>139.39870535499554</v>
      </c>
      <c r="ED48">
        <v>152.78388844269253</v>
      </c>
      <c r="EE48">
        <v>159.8293465881496</v>
      </c>
      <c r="EF48">
        <v>164.05460409907715</v>
      </c>
      <c r="EG48">
        <v>166.8424572599852</v>
      </c>
      <c r="EH48">
        <v>168.8112000717482</v>
      </c>
      <c r="EI48">
        <v>170.27242144859838</v>
      </c>
      <c r="EJ48">
        <v>171.39861514128512</v>
      </c>
      <c r="EL48">
        <v>2.5830206686350579</v>
      </c>
      <c r="EM48">
        <v>2.8864185438646075</v>
      </c>
      <c r="EN48">
        <v>3.270487923183552</v>
      </c>
      <c r="EO48">
        <v>3.7722836093798406</v>
      </c>
      <c r="EP48">
        <v>4.45560283332631</v>
      </c>
      <c r="EQ48">
        <v>5.4403320310055108</v>
      </c>
      <c r="ER48">
        <v>6.981057406829791</v>
      </c>
      <c r="ES48">
        <v>9.7275785514016064</v>
      </c>
      <c r="ET48">
        <v>15.945395900922847</v>
      </c>
      <c r="EV48">
        <v>7.7074857229649751</v>
      </c>
      <c r="EW48">
        <v>8.6013848587148942</v>
      </c>
      <c r="EX48">
        <v>9.7275785514016064</v>
      </c>
      <c r="EY48">
        <v>11.188799928251811</v>
      </c>
      <c r="EZ48">
        <v>13.157542740014804</v>
      </c>
      <c r="FA48">
        <v>15.945395900922847</v>
      </c>
      <c r="FB48">
        <v>20.170653411850395</v>
      </c>
      <c r="FC48">
        <v>27.216111557307471</v>
      </c>
      <c r="FD48">
        <v>40.601294645004465</v>
      </c>
      <c r="FF48">
        <v>1.2590452071752622</v>
      </c>
      <c r="FG48">
        <v>1.3270779908741019</v>
      </c>
      <c r="FH48">
        <v>1.4028815326514632</v>
      </c>
      <c r="FI48">
        <v>1.4878675288277776</v>
      </c>
      <c r="FJ48">
        <v>1.5838115708619398</v>
      </c>
      <c r="FK48">
        <v>1.692978437628895</v>
      </c>
      <c r="FL48">
        <v>1.8183029644518314</v>
      </c>
      <c r="FM48">
        <v>1.9636575340519613</v>
      </c>
      <c r="FN48">
        <v>2.1342587625022844</v>
      </c>
      <c r="FP48">
        <v>3.7722836093798406</v>
      </c>
      <c r="FQ48">
        <v>3.9755536726035103</v>
      </c>
      <c r="FR48">
        <v>4.2019363581596281</v>
      </c>
      <c r="FS48">
        <v>4.45560283332631</v>
      </c>
      <c r="FT48">
        <v>4.7417897545190471</v>
      </c>
      <c r="FU48">
        <v>5.0671617258531967</v>
      </c>
      <c r="FV48">
        <v>5.4403320310055108</v>
      </c>
      <c r="FW48">
        <v>5.8726282810667954</v>
      </c>
      <c r="FX48">
        <v>6.3792481676131274</v>
      </c>
      <c r="FZ48">
        <v>0.83232565288922444</v>
      </c>
      <c r="GA48">
        <v>0.86152573456725179</v>
      </c>
      <c r="GB48">
        <v>0.89284896057698404</v>
      </c>
      <c r="GC48">
        <v>0.92653560744399499</v>
      </c>
      <c r="GD48">
        <v>0.96286362563621708</v>
      </c>
      <c r="GE48">
        <v>1.0021563238376388</v>
      </c>
      <c r="GF48">
        <v>1.0447920138064859</v>
      </c>
      <c r="GG48">
        <v>1.0912162252625848</v>
      </c>
      <c r="GH48">
        <v>1.1419573267890257</v>
      </c>
      <c r="GJ48">
        <v>2.4955732833842745</v>
      </c>
      <c r="GK48">
        <v>2.5830206686350579</v>
      </c>
      <c r="GL48">
        <v>2.6768144670864729</v>
      </c>
      <c r="GM48">
        <v>2.7776710078858713</v>
      </c>
      <c r="GN48">
        <v>2.8864185438646075</v>
      </c>
      <c r="GO48">
        <v>3.0040199786950694</v>
      </c>
      <c r="GP48">
        <v>3.1316013606210618</v>
      </c>
      <c r="GQ48">
        <v>3.270487923183552</v>
      </c>
      <c r="GR48">
        <v>3.4222501097837466</v>
      </c>
      <c r="GS48">
        <v>3.5887629603800804</v>
      </c>
    </row>
    <row r="49" spans="2:201">
      <c r="B49">
        <v>173.01894259317021</v>
      </c>
      <c r="C49">
        <v>173.62075183238687</v>
      </c>
      <c r="D49">
        <v>174.1273717189332</v>
      </c>
      <c r="E49">
        <v>174.55966796899449</v>
      </c>
      <c r="F49">
        <v>174.9328382741468</v>
      </c>
      <c r="G49">
        <v>175.25821024548094</v>
      </c>
      <c r="H49">
        <v>175.54439716667369</v>
      </c>
      <c r="I49">
        <v>175.79806364184037</v>
      </c>
      <c r="J49">
        <v>176.0244463273965</v>
      </c>
      <c r="L49">
        <v>177.66269414087617</v>
      </c>
      <c r="M49">
        <v>177.86574123749773</v>
      </c>
      <c r="N49">
        <v>178.03634246594805</v>
      </c>
      <c r="O49">
        <v>178.18169703554815</v>
      </c>
      <c r="P49">
        <v>178.30702156237112</v>
      </c>
      <c r="Q49">
        <v>178.41618842913806</v>
      </c>
      <c r="R49">
        <v>178.51213247117221</v>
      </c>
      <c r="S49">
        <v>178.59711846734854</v>
      </c>
      <c r="T49">
        <v>178.6729220091259</v>
      </c>
      <c r="V49">
        <v>111.25050550713324</v>
      </c>
      <c r="W49">
        <v>139.39870535499554</v>
      </c>
      <c r="X49">
        <v>152.78388844269253</v>
      </c>
      <c r="Y49">
        <v>159.8293465881496</v>
      </c>
      <c r="Z49">
        <v>164.05460409907715</v>
      </c>
      <c r="AA49">
        <v>166.8424572599852</v>
      </c>
      <c r="AB49">
        <v>168.8112000717482</v>
      </c>
      <c r="AC49">
        <v>170.27242144859838</v>
      </c>
      <c r="AD49">
        <v>171.39861514128512</v>
      </c>
      <c r="AF49">
        <v>139.39870535499554</v>
      </c>
      <c r="AG49">
        <v>164.05460409907715</v>
      </c>
      <c r="AH49">
        <v>170.27242144859838</v>
      </c>
      <c r="AI49">
        <v>173.01894259317021</v>
      </c>
      <c r="AJ49">
        <v>174.55966796899449</v>
      </c>
      <c r="AK49">
        <v>175.54439716667369</v>
      </c>
      <c r="AL49">
        <v>176.22771639062017</v>
      </c>
      <c r="AM49">
        <v>176.72951207681643</v>
      </c>
      <c r="AN49">
        <v>177.11358145613539</v>
      </c>
      <c r="AP49">
        <v>7.7074857229649751</v>
      </c>
      <c r="AQ49">
        <v>8.6013848587148942</v>
      </c>
      <c r="AR49">
        <v>9.7275785514016064</v>
      </c>
      <c r="AS49">
        <v>11.188799928251811</v>
      </c>
      <c r="AT49">
        <v>13.157542740014804</v>
      </c>
      <c r="AU49">
        <v>15.945395900922847</v>
      </c>
      <c r="AV49">
        <v>20.170653411850395</v>
      </c>
      <c r="AW49">
        <v>27.216111557307471</v>
      </c>
      <c r="AX49">
        <v>40.601294645004465</v>
      </c>
      <c r="AZ49">
        <v>2.5830206686350579</v>
      </c>
      <c r="BA49">
        <v>2.8864185438646075</v>
      </c>
      <c r="BB49">
        <v>3.270487923183552</v>
      </c>
      <c r="BC49">
        <v>3.7722836093798406</v>
      </c>
      <c r="BD49">
        <v>4.45560283332631</v>
      </c>
      <c r="BE49">
        <v>5.4403320310055108</v>
      </c>
      <c r="BF49">
        <v>6.981057406829791</v>
      </c>
      <c r="BG49">
        <v>9.7275785514016064</v>
      </c>
      <c r="BH49">
        <v>15.945395900922847</v>
      </c>
      <c r="BJ49">
        <v>3.7722836093798406</v>
      </c>
      <c r="BK49">
        <v>3.9755536726035103</v>
      </c>
      <c r="BL49">
        <v>4.2019363581596281</v>
      </c>
      <c r="BM49">
        <v>4.45560283332631</v>
      </c>
      <c r="BN49">
        <v>4.7417897545190471</v>
      </c>
      <c r="BO49">
        <v>5.0671617258531967</v>
      </c>
      <c r="BP49">
        <v>5.4403320310055108</v>
      </c>
      <c r="BQ49">
        <v>5.8726282810667954</v>
      </c>
      <c r="BR49">
        <v>6.3792481676131274</v>
      </c>
      <c r="BT49">
        <v>1.2590452071752622</v>
      </c>
      <c r="BU49">
        <v>1.3270779908741019</v>
      </c>
      <c r="BV49">
        <v>1.4028815326514632</v>
      </c>
      <c r="BW49">
        <v>1.4878675288277776</v>
      </c>
      <c r="BX49">
        <v>1.5838115708619398</v>
      </c>
      <c r="BY49">
        <v>1.692978437628895</v>
      </c>
      <c r="BZ49">
        <v>1.8183029644518314</v>
      </c>
      <c r="CA49">
        <v>1.9636575340519613</v>
      </c>
      <c r="CB49">
        <v>2.1342587625022844</v>
      </c>
      <c r="CD49">
        <v>2.4955732833842745</v>
      </c>
      <c r="CE49">
        <v>2.5830206686350579</v>
      </c>
      <c r="CF49">
        <v>2.6768144670864729</v>
      </c>
      <c r="CG49">
        <v>2.7776710078858713</v>
      </c>
      <c r="CH49">
        <v>2.8864185438646075</v>
      </c>
      <c r="CI49">
        <v>3.0040199786950694</v>
      </c>
      <c r="CJ49">
        <v>3.1316013606210618</v>
      </c>
      <c r="CK49">
        <v>3.270487923183552</v>
      </c>
      <c r="CL49">
        <v>3.4222501097837466</v>
      </c>
      <c r="CN49">
        <v>0.83232565288922444</v>
      </c>
      <c r="CO49">
        <v>0.86152573456725179</v>
      </c>
      <c r="CP49">
        <v>0.89284896057698404</v>
      </c>
      <c r="CQ49">
        <v>0.92653560744399499</v>
      </c>
      <c r="CR49">
        <v>0.96286362563621708</v>
      </c>
      <c r="CS49">
        <v>1.0021563238376388</v>
      </c>
      <c r="CT49">
        <v>1.0447920138064859</v>
      </c>
      <c r="CU49">
        <v>1.0912162252625848</v>
      </c>
      <c r="CV49">
        <v>1.1419573267890257</v>
      </c>
      <c r="CX49">
        <v>173.01894259317021</v>
      </c>
      <c r="CY49">
        <v>173.62075183238687</v>
      </c>
      <c r="CZ49">
        <v>174.1273717189332</v>
      </c>
      <c r="DA49">
        <v>174.55966796899449</v>
      </c>
      <c r="DB49">
        <v>174.9328382741468</v>
      </c>
      <c r="DC49">
        <v>175.25821024548094</v>
      </c>
      <c r="DD49">
        <v>175.54439716667369</v>
      </c>
      <c r="DE49">
        <v>175.79806364184037</v>
      </c>
      <c r="DF49">
        <v>176.0244463273965</v>
      </c>
      <c r="DH49">
        <v>177.66269414087617</v>
      </c>
      <c r="DI49">
        <v>177.86574123749773</v>
      </c>
      <c r="DJ49">
        <v>178.03634246594805</v>
      </c>
      <c r="DK49">
        <v>178.18169703554815</v>
      </c>
      <c r="DL49">
        <v>178.30702156237112</v>
      </c>
      <c r="DM49">
        <v>178.41618842913806</v>
      </c>
      <c r="DN49">
        <v>178.51213247117221</v>
      </c>
      <c r="DO49">
        <v>178.59711846734854</v>
      </c>
      <c r="DP49">
        <v>178.6729220091259</v>
      </c>
      <c r="DR49">
        <v>111.25050550713324</v>
      </c>
      <c r="DS49">
        <v>139.39870535499554</v>
      </c>
      <c r="DT49">
        <v>152.78388844269253</v>
      </c>
      <c r="DU49">
        <v>159.8293465881496</v>
      </c>
      <c r="DV49">
        <v>164.05460409907715</v>
      </c>
      <c r="DW49">
        <v>166.8424572599852</v>
      </c>
      <c r="DX49">
        <v>168.8112000717482</v>
      </c>
      <c r="DY49">
        <v>170.27242144859838</v>
      </c>
      <c r="DZ49">
        <v>171.39861514128512</v>
      </c>
      <c r="EB49">
        <v>139.39870535499554</v>
      </c>
      <c r="EC49">
        <v>164.05460409907715</v>
      </c>
      <c r="ED49">
        <v>170.27242144859838</v>
      </c>
      <c r="EE49">
        <v>173.01894259317021</v>
      </c>
      <c r="EF49">
        <v>174.55966796899449</v>
      </c>
      <c r="EG49">
        <v>175.54439716667369</v>
      </c>
      <c r="EH49">
        <v>176.22771639062017</v>
      </c>
      <c r="EI49">
        <v>176.72951207681643</v>
      </c>
      <c r="EJ49">
        <v>177.11358145613539</v>
      </c>
      <c r="EL49">
        <v>7.7074857229649751</v>
      </c>
      <c r="EM49">
        <v>8.6013848587148942</v>
      </c>
      <c r="EN49">
        <v>9.7275785514016064</v>
      </c>
      <c r="EO49">
        <v>11.188799928251811</v>
      </c>
      <c r="EP49">
        <v>13.157542740014804</v>
      </c>
      <c r="EQ49">
        <v>15.945395900922847</v>
      </c>
      <c r="ER49">
        <v>20.170653411850395</v>
      </c>
      <c r="ES49">
        <v>27.216111557307471</v>
      </c>
      <c r="ET49">
        <v>40.601294645004465</v>
      </c>
      <c r="EV49">
        <v>2.5830206686350579</v>
      </c>
      <c r="EW49">
        <v>2.8864185438646075</v>
      </c>
      <c r="EX49">
        <v>3.270487923183552</v>
      </c>
      <c r="EY49">
        <v>3.7722836093798406</v>
      </c>
      <c r="EZ49">
        <v>4.45560283332631</v>
      </c>
      <c r="FA49">
        <v>5.4403320310055108</v>
      </c>
      <c r="FB49">
        <v>6.981057406829791</v>
      </c>
      <c r="FC49">
        <v>9.7275785514016064</v>
      </c>
      <c r="FD49">
        <v>15.945395900922847</v>
      </c>
      <c r="FF49">
        <v>3.7722836093798406</v>
      </c>
      <c r="FG49">
        <v>3.9755536726035103</v>
      </c>
      <c r="FH49">
        <v>4.2019363581596281</v>
      </c>
      <c r="FI49">
        <v>4.45560283332631</v>
      </c>
      <c r="FJ49">
        <v>4.7417897545190471</v>
      </c>
      <c r="FK49">
        <v>5.0671617258531967</v>
      </c>
      <c r="FL49">
        <v>5.4403320310055108</v>
      </c>
      <c r="FM49">
        <v>5.8726282810667954</v>
      </c>
      <c r="FN49">
        <v>6.3792481676131274</v>
      </c>
      <c r="FP49">
        <v>1.2590452071752622</v>
      </c>
      <c r="FQ49">
        <v>1.3270779908741019</v>
      </c>
      <c r="FR49">
        <v>1.4028815326514632</v>
      </c>
      <c r="FS49">
        <v>1.4878675288277776</v>
      </c>
      <c r="FT49">
        <v>1.5838115708619398</v>
      </c>
      <c r="FU49">
        <v>1.692978437628895</v>
      </c>
      <c r="FV49">
        <v>1.8183029644518314</v>
      </c>
      <c r="FW49">
        <v>1.9636575340519613</v>
      </c>
      <c r="FX49">
        <v>2.1342587625022844</v>
      </c>
      <c r="FZ49">
        <v>2.4955732833842745</v>
      </c>
      <c r="GA49">
        <v>2.5830206686350579</v>
      </c>
      <c r="GB49">
        <v>2.6768144670864729</v>
      </c>
      <c r="GC49">
        <v>2.7776710078858713</v>
      </c>
      <c r="GD49">
        <v>2.8864185438646075</v>
      </c>
      <c r="GE49">
        <v>3.0040199786950694</v>
      </c>
      <c r="GF49">
        <v>3.1316013606210618</v>
      </c>
      <c r="GG49">
        <v>3.270487923183552</v>
      </c>
      <c r="GH49">
        <v>3.4222501097837466</v>
      </c>
      <c r="GJ49">
        <v>0.83232565288922444</v>
      </c>
      <c r="GK49">
        <v>0.86152573456725179</v>
      </c>
      <c r="GL49">
        <v>0.89284896057698404</v>
      </c>
      <c r="GM49">
        <v>0.92653560744399499</v>
      </c>
      <c r="GN49">
        <v>0.96286362563621708</v>
      </c>
      <c r="GO49">
        <v>1.0021563238376388</v>
      </c>
      <c r="GP49">
        <v>1.0447920138064859</v>
      </c>
      <c r="GQ49">
        <v>1.0912162252625848</v>
      </c>
      <c r="GR49">
        <v>1.1419573267890257</v>
      </c>
      <c r="GS49">
        <v>1.1976467146083962</v>
      </c>
    </row>
    <row r="50" spans="2:201">
      <c r="B50">
        <v>169.96978668026716</v>
      </c>
      <c r="C50">
        <v>170.82646455771808</v>
      </c>
      <c r="D50">
        <v>171.54930110639793</v>
      </c>
      <c r="E50">
        <v>172.16720443376536</v>
      </c>
      <c r="F50">
        <v>172.70136060825973</v>
      </c>
      <c r="G50">
        <v>173.167638322583</v>
      </c>
      <c r="H50">
        <v>173.57815161648247</v>
      </c>
      <c r="I50">
        <v>173.94230420547899</v>
      </c>
      <c r="J50">
        <v>174.2675048071784</v>
      </c>
      <c r="L50">
        <v>179.22051367888153</v>
      </c>
      <c r="M50">
        <v>179.28828779396432</v>
      </c>
      <c r="N50">
        <v>179.3452195977323</v>
      </c>
      <c r="O50">
        <v>179.39371808448266</v>
      </c>
      <c r="P50">
        <v>179.43552782469305</v>
      </c>
      <c r="Q50">
        <v>179.47194325109984</v>
      </c>
      <c r="R50">
        <v>179.50394503960476</v>
      </c>
      <c r="S50">
        <v>179.53228973996147</v>
      </c>
      <c r="T50">
        <v>179.55757034196051</v>
      </c>
      <c r="V50">
        <v>105.0684881594922</v>
      </c>
      <c r="W50">
        <v>128.92754359279229</v>
      </c>
      <c r="X50">
        <v>143.39292518739251</v>
      </c>
      <c r="Y50">
        <v>152.04903097210982</v>
      </c>
      <c r="Z50">
        <v>157.57413807864822</v>
      </c>
      <c r="AA50">
        <v>161.34211152588045</v>
      </c>
      <c r="AB50">
        <v>164.05460409907715</v>
      </c>
      <c r="AC50">
        <v>166.09222219014532</v>
      </c>
      <c r="AD50">
        <v>167.67527256586263</v>
      </c>
      <c r="AF50">
        <v>164.05460409907715</v>
      </c>
      <c r="AG50">
        <v>174.55966796899449</v>
      </c>
      <c r="AH50">
        <v>176.72951207681643</v>
      </c>
      <c r="AI50">
        <v>177.66269414087617</v>
      </c>
      <c r="AJ50">
        <v>178.18169703554815</v>
      </c>
      <c r="AK50">
        <v>178.51213247117221</v>
      </c>
      <c r="AL50">
        <v>178.74095479282474</v>
      </c>
      <c r="AM50">
        <v>178.9087837747374</v>
      </c>
      <c r="AN50">
        <v>179.0371363743638</v>
      </c>
      <c r="AP50">
        <v>11.061182461591798</v>
      </c>
      <c r="AQ50">
        <v>12.324727434137372</v>
      </c>
      <c r="AR50">
        <v>13.907777809854693</v>
      </c>
      <c r="AS50">
        <v>15.945395900922847</v>
      </c>
      <c r="AT50">
        <v>18.657888474119531</v>
      </c>
      <c r="AU50">
        <v>22.425861921351796</v>
      </c>
      <c r="AV50">
        <v>27.950969027890174</v>
      </c>
      <c r="AW50">
        <v>36.607074812607493</v>
      </c>
      <c r="AX50">
        <v>51.072456407207696</v>
      </c>
      <c r="AZ50">
        <v>0.86152573456725179</v>
      </c>
      <c r="BA50">
        <v>0.96286362563621708</v>
      </c>
      <c r="BB50">
        <v>1.0912162252625848</v>
      </c>
      <c r="BC50">
        <v>1.2590452071752622</v>
      </c>
      <c r="BD50">
        <v>1.4878675288277776</v>
      </c>
      <c r="BE50">
        <v>1.8183029644518314</v>
      </c>
      <c r="BF50">
        <v>2.3373058591238163</v>
      </c>
      <c r="BG50">
        <v>3.270487923183552</v>
      </c>
      <c r="BH50">
        <v>5.4403320310055108</v>
      </c>
      <c r="BJ50">
        <v>5.4403320310055108</v>
      </c>
      <c r="BK50">
        <v>5.7324951928216166</v>
      </c>
      <c r="BL50">
        <v>6.0576957945209955</v>
      </c>
      <c r="BM50">
        <v>6.4218483835175277</v>
      </c>
      <c r="BN50">
        <v>6.8323616774169835</v>
      </c>
      <c r="BO50">
        <v>7.2986393917402808</v>
      </c>
      <c r="BP50">
        <v>7.8327955662346369</v>
      </c>
      <c r="BQ50">
        <v>8.450698893602052</v>
      </c>
      <c r="BR50">
        <v>9.1735354422819171</v>
      </c>
      <c r="BT50">
        <v>0.4197417913353263</v>
      </c>
      <c r="BU50">
        <v>0.44242965803947243</v>
      </c>
      <c r="BV50">
        <v>0.46771026003851546</v>
      </c>
      <c r="BW50">
        <v>0.49605496039524155</v>
      </c>
      <c r="BX50">
        <v>0.52805674890016974</v>
      </c>
      <c r="BY50">
        <v>0.56447217530696037</v>
      </c>
      <c r="BZ50">
        <v>0.6062819155173429</v>
      </c>
      <c r="CA50">
        <v>0.65478040226768996</v>
      </c>
      <c r="CB50">
        <v>0.71171220603568486</v>
      </c>
      <c r="CD50">
        <v>3.6022444333064101</v>
      </c>
      <c r="CE50">
        <v>3.7282885041812364</v>
      </c>
      <c r="CF50">
        <v>3.8634592208828451</v>
      </c>
      <c r="CG50">
        <v>4.0087834052276037</v>
      </c>
      <c r="CH50">
        <v>4.1654476312998554</v>
      </c>
      <c r="CI50">
        <v>4.3348304879090023</v>
      </c>
      <c r="CJ50">
        <v>4.5185429714664735</v>
      </c>
      <c r="CK50">
        <v>4.7184794986764871</v>
      </c>
      <c r="CL50">
        <v>4.9368829370095</v>
      </c>
      <c r="CN50">
        <v>0.27745923312251364</v>
      </c>
      <c r="CO50">
        <v>0.28719448450716811</v>
      </c>
      <c r="CP50">
        <v>0.29763773572349805</v>
      </c>
      <c r="CQ50">
        <v>0.3088691347519017</v>
      </c>
      <c r="CR50">
        <v>0.32098140119357765</v>
      </c>
      <c r="CS50">
        <v>0.33408239174853804</v>
      </c>
      <c r="CT50">
        <v>0.348298320658742</v>
      </c>
      <c r="CU50">
        <v>0.36377783886456427</v>
      </c>
      <c r="CV50">
        <v>0.38069725142676702</v>
      </c>
      <c r="CX50">
        <v>169.96978668026716</v>
      </c>
      <c r="CY50">
        <v>170.82646455771808</v>
      </c>
      <c r="CZ50">
        <v>171.54930110639793</v>
      </c>
      <c r="DA50">
        <v>172.16720443376536</v>
      </c>
      <c r="DB50">
        <v>172.70136060825973</v>
      </c>
      <c r="DC50">
        <v>173.167638322583</v>
      </c>
      <c r="DD50">
        <v>173.57815161648247</v>
      </c>
      <c r="DE50">
        <v>173.94230420547899</v>
      </c>
      <c r="DF50">
        <v>174.2675048071784</v>
      </c>
      <c r="DH50">
        <v>179.22051367888153</v>
      </c>
      <c r="DI50">
        <v>179.28828779396432</v>
      </c>
      <c r="DJ50">
        <v>179.3452195977323</v>
      </c>
      <c r="DK50">
        <v>179.39371808448266</v>
      </c>
      <c r="DL50">
        <v>179.43552782469305</v>
      </c>
      <c r="DM50">
        <v>179.47194325109984</v>
      </c>
      <c r="DN50">
        <v>179.50394503960476</v>
      </c>
      <c r="DO50">
        <v>179.53228973996147</v>
      </c>
      <c r="DP50">
        <v>179.55757034196051</v>
      </c>
      <c r="DR50">
        <v>105.0684881594922</v>
      </c>
      <c r="DS50">
        <v>128.92754359279229</v>
      </c>
      <c r="DT50">
        <v>143.39292518739251</v>
      </c>
      <c r="DU50">
        <v>152.04903097210982</v>
      </c>
      <c r="DV50">
        <v>157.57413807864822</v>
      </c>
      <c r="DW50">
        <v>161.34211152588045</v>
      </c>
      <c r="DX50">
        <v>164.05460409907715</v>
      </c>
      <c r="DY50">
        <v>166.09222219014532</v>
      </c>
      <c r="DZ50">
        <v>167.67527256586263</v>
      </c>
      <c r="EB50">
        <v>164.05460409907715</v>
      </c>
      <c r="EC50">
        <v>174.55966796899449</v>
      </c>
      <c r="ED50">
        <v>176.72951207681643</v>
      </c>
      <c r="EE50">
        <v>177.66269414087617</v>
      </c>
      <c r="EF50">
        <v>178.18169703554815</v>
      </c>
      <c r="EG50">
        <v>178.51213247117221</v>
      </c>
      <c r="EH50">
        <v>178.74095479282474</v>
      </c>
      <c r="EI50">
        <v>178.9087837747374</v>
      </c>
      <c r="EJ50">
        <v>179.0371363743638</v>
      </c>
      <c r="EL50">
        <v>11.061182461591798</v>
      </c>
      <c r="EM50">
        <v>12.324727434137372</v>
      </c>
      <c r="EN50">
        <v>13.907777809854693</v>
      </c>
      <c r="EO50">
        <v>15.945395900922847</v>
      </c>
      <c r="EP50">
        <v>18.657888474119531</v>
      </c>
      <c r="EQ50">
        <v>22.425861921351796</v>
      </c>
      <c r="ER50">
        <v>27.950969027890174</v>
      </c>
      <c r="ES50">
        <v>36.607074812607493</v>
      </c>
      <c r="ET50">
        <v>51.072456407207696</v>
      </c>
      <c r="EV50">
        <v>0.86152573456725179</v>
      </c>
      <c r="EW50">
        <v>0.96286362563621708</v>
      </c>
      <c r="EX50">
        <v>1.0912162252625848</v>
      </c>
      <c r="EY50">
        <v>1.2590452071752622</v>
      </c>
      <c r="EZ50">
        <v>1.4878675288277776</v>
      </c>
      <c r="FA50">
        <v>1.8183029644518314</v>
      </c>
      <c r="FB50">
        <v>2.3373058591238163</v>
      </c>
      <c r="FC50">
        <v>3.270487923183552</v>
      </c>
      <c r="FD50">
        <v>5.4403320310055108</v>
      </c>
      <c r="FF50">
        <v>5.4403320310055108</v>
      </c>
      <c r="FG50">
        <v>5.7324951928216166</v>
      </c>
      <c r="FH50">
        <v>6.0576957945209955</v>
      </c>
      <c r="FI50">
        <v>6.4218483835175277</v>
      </c>
      <c r="FJ50">
        <v>6.8323616774169835</v>
      </c>
      <c r="FK50">
        <v>7.2986393917402808</v>
      </c>
      <c r="FL50">
        <v>7.8327955662346369</v>
      </c>
      <c r="FM50">
        <v>8.450698893602052</v>
      </c>
      <c r="FN50">
        <v>9.1735354422819171</v>
      </c>
      <c r="FP50">
        <v>0.4197417913353263</v>
      </c>
      <c r="FQ50">
        <v>0.44242965803947243</v>
      </c>
      <c r="FR50">
        <v>0.46771026003851546</v>
      </c>
      <c r="FS50">
        <v>0.49605496039524155</v>
      </c>
      <c r="FT50">
        <v>0.52805674890016974</v>
      </c>
      <c r="FU50">
        <v>0.56447217530696037</v>
      </c>
      <c r="FV50">
        <v>0.6062819155173429</v>
      </c>
      <c r="FW50">
        <v>0.65478040226768996</v>
      </c>
      <c r="FX50">
        <v>0.71171220603568486</v>
      </c>
      <c r="FZ50">
        <v>3.6022444333064101</v>
      </c>
      <c r="GA50">
        <v>3.7282885041812364</v>
      </c>
      <c r="GB50">
        <v>3.8634592208828451</v>
      </c>
      <c r="GC50">
        <v>4.0087834052276037</v>
      </c>
      <c r="GD50">
        <v>4.1654476312998554</v>
      </c>
      <c r="GE50">
        <v>4.3348304879090023</v>
      </c>
      <c r="GF50">
        <v>4.5185429714664735</v>
      </c>
      <c r="GG50">
        <v>4.7184794986764871</v>
      </c>
      <c r="GH50">
        <v>4.9368829370095</v>
      </c>
      <c r="GJ50">
        <v>0.27745923312251364</v>
      </c>
      <c r="GK50">
        <v>0.28719448450716811</v>
      </c>
      <c r="GL50">
        <v>0.29763773572349805</v>
      </c>
      <c r="GM50">
        <v>0.3088691347519017</v>
      </c>
      <c r="GN50">
        <v>0.32098140119357765</v>
      </c>
      <c r="GO50">
        <v>0.33408239174853804</v>
      </c>
      <c r="GP50">
        <v>0.348298320658742</v>
      </c>
      <c r="GQ50">
        <v>0.36377783886456427</v>
      </c>
      <c r="GR50">
        <v>0.38069725142676702</v>
      </c>
      <c r="GS50">
        <v>0.399267261846731</v>
      </c>
    </row>
    <row r="51" spans="2:201">
      <c r="B51">
        <v>166.976920329395</v>
      </c>
      <c r="C51">
        <v>168.07547606238808</v>
      </c>
      <c r="D51">
        <v>169.00522265070788</v>
      </c>
      <c r="E51">
        <v>169.8018991543766</v>
      </c>
      <c r="F51">
        <v>170.4919143995391</v>
      </c>
      <c r="G51">
        <v>171.09517900967796</v>
      </c>
      <c r="H51">
        <v>171.62697332521759</v>
      </c>
      <c r="I51">
        <v>172.0992105761602</v>
      </c>
      <c r="J51">
        <v>172.52131049185175</v>
      </c>
      <c r="L51">
        <v>176.10832370591925</v>
      </c>
      <c r="M51">
        <v>176.44582176446789</v>
      </c>
      <c r="N51">
        <v>176.72951207681643</v>
      </c>
      <c r="O51">
        <v>176.9713014216594</v>
      </c>
      <c r="P51">
        <v>177.17982752755154</v>
      </c>
      <c r="Q51">
        <v>177.36150817458878</v>
      </c>
      <c r="R51">
        <v>177.52121089142167</v>
      </c>
      <c r="S51">
        <v>177.66269414087617</v>
      </c>
      <c r="T51">
        <v>177.78890602282894</v>
      </c>
      <c r="V51">
        <v>101.63363399894044</v>
      </c>
      <c r="W51">
        <v>121.70142966950571</v>
      </c>
      <c r="X51">
        <v>135.83031548625803</v>
      </c>
      <c r="Y51">
        <v>145.24408744645862</v>
      </c>
      <c r="Z51">
        <v>151.64503821467594</v>
      </c>
      <c r="AA51">
        <v>156.17573941710458</v>
      </c>
      <c r="AB51">
        <v>159.51298580666929</v>
      </c>
      <c r="AC51">
        <v>162.05755291084134</v>
      </c>
      <c r="AD51">
        <v>164.05460409907715</v>
      </c>
      <c r="AF51">
        <v>124.99202019855866</v>
      </c>
      <c r="AG51">
        <v>154.53665493812838</v>
      </c>
      <c r="AH51">
        <v>164.05460409907715</v>
      </c>
      <c r="AI51">
        <v>168.46537934635529</v>
      </c>
      <c r="AJ51">
        <v>170.98067756861832</v>
      </c>
      <c r="AK51">
        <v>172.6004053401129</v>
      </c>
      <c r="AL51">
        <v>173.72892255049885</v>
      </c>
      <c r="AM51">
        <v>174.55966796899449</v>
      </c>
      <c r="AN51">
        <v>175.19651424093092</v>
      </c>
      <c r="AP51">
        <v>14.339928501342243</v>
      </c>
      <c r="AQ51">
        <v>15.945395900922847</v>
      </c>
      <c r="AR51">
        <v>17.942447089158662</v>
      </c>
      <c r="AS51">
        <v>20.487014193330694</v>
      </c>
      <c r="AT51">
        <v>23.82426058289542</v>
      </c>
      <c r="AU51">
        <v>28.354961785324058</v>
      </c>
      <c r="AV51">
        <v>34.755912553541371</v>
      </c>
      <c r="AW51">
        <v>44.169684513741984</v>
      </c>
      <c r="AX51">
        <v>58.298570330494286</v>
      </c>
      <c r="AZ51">
        <v>4.299862820192061</v>
      </c>
      <c r="BA51">
        <v>4.8034857590690763</v>
      </c>
      <c r="BB51">
        <v>5.4403320310055108</v>
      </c>
      <c r="BC51">
        <v>6.271077449501135</v>
      </c>
      <c r="BD51">
        <v>7.3995946598871001</v>
      </c>
      <c r="BE51">
        <v>9.0193224313816813</v>
      </c>
      <c r="BF51">
        <v>11.534620653644723</v>
      </c>
      <c r="BG51">
        <v>15.945395900922847</v>
      </c>
      <c r="BH51">
        <v>25.463345061871607</v>
      </c>
      <c r="BJ51">
        <v>7.0991841687255572</v>
      </c>
      <c r="BK51">
        <v>7.4786895081482498</v>
      </c>
      <c r="BL51">
        <v>7.9007894238397967</v>
      </c>
      <c r="BM51">
        <v>8.3730266747823947</v>
      </c>
      <c r="BN51">
        <v>8.904820990322051</v>
      </c>
      <c r="BO51">
        <v>9.508085600460916</v>
      </c>
      <c r="BP51">
        <v>10.198100845623401</v>
      </c>
      <c r="BQ51">
        <v>10.994777349292121</v>
      </c>
      <c r="BR51">
        <v>11.924523937611909</v>
      </c>
      <c r="BT51">
        <v>2.0978085861921443</v>
      </c>
      <c r="BU51">
        <v>2.2110939771710747</v>
      </c>
      <c r="BV51">
        <v>2.3373058591238163</v>
      </c>
      <c r="BW51">
        <v>2.4787891085783258</v>
      </c>
      <c r="BX51">
        <v>2.638491825411208</v>
      </c>
      <c r="BY51">
        <v>2.8201724724484762</v>
      </c>
      <c r="BZ51">
        <v>3.0286985783405811</v>
      </c>
      <c r="CA51">
        <v>3.270487923183552</v>
      </c>
      <c r="CB51">
        <v>3.5541782355320919</v>
      </c>
      <c r="CD51">
        <v>4.7062311092252997</v>
      </c>
      <c r="CE51">
        <v>4.8705810140005639</v>
      </c>
      <c r="CF51">
        <v>5.0467942907751677</v>
      </c>
      <c r="CG51">
        <v>5.2361998210000706</v>
      </c>
      <c r="CH51">
        <v>5.4403320310055108</v>
      </c>
      <c r="CI51">
        <v>5.6609720937453432</v>
      </c>
      <c r="CJ51">
        <v>5.900199417274834</v>
      </c>
      <c r="CK51">
        <v>6.1604565335906045</v>
      </c>
      <c r="CL51">
        <v>6.44463162205777</v>
      </c>
      <c r="CN51">
        <v>1.3870359917806496</v>
      </c>
      <c r="CO51">
        <v>1.4356838973417467</v>
      </c>
      <c r="CP51">
        <v>1.4878675288277776</v>
      </c>
      <c r="CQ51">
        <v>1.5439867897975148</v>
      </c>
      <c r="CR51">
        <v>1.6045042375623524</v>
      </c>
      <c r="CS51">
        <v>1.6699578498741658</v>
      </c>
      <c r="CT51">
        <v>1.7409770449283286</v>
      </c>
      <c r="CU51">
        <v>1.8183029644518314</v>
      </c>
      <c r="CV51">
        <v>1.9028144043150235</v>
      </c>
      <c r="CX51">
        <v>166.976920329395</v>
      </c>
      <c r="CY51">
        <v>168.07547606238808</v>
      </c>
      <c r="CZ51">
        <v>169.00522265070788</v>
      </c>
      <c r="DA51">
        <v>169.8018991543766</v>
      </c>
      <c r="DB51">
        <v>170.4919143995391</v>
      </c>
      <c r="DC51">
        <v>171.09517900967796</v>
      </c>
      <c r="DD51">
        <v>171.62697332521759</v>
      </c>
      <c r="DE51">
        <v>172.0992105761602</v>
      </c>
      <c r="DF51">
        <v>172.52131049185175</v>
      </c>
      <c r="DH51">
        <v>176.10832370591925</v>
      </c>
      <c r="DI51">
        <v>176.44582176446789</v>
      </c>
      <c r="DJ51">
        <v>176.72951207681643</v>
      </c>
      <c r="DK51">
        <v>176.9713014216594</v>
      </c>
      <c r="DL51">
        <v>177.17982752755154</v>
      </c>
      <c r="DM51">
        <v>177.36150817458878</v>
      </c>
      <c r="DN51">
        <v>177.52121089142167</v>
      </c>
      <c r="DO51">
        <v>177.66269414087617</v>
      </c>
      <c r="DP51">
        <v>177.78890602282894</v>
      </c>
      <c r="DR51">
        <v>101.63363399894044</v>
      </c>
      <c r="DS51">
        <v>121.70142966950571</v>
      </c>
      <c r="DT51">
        <v>135.83031548625803</v>
      </c>
      <c r="DU51">
        <v>145.24408744645862</v>
      </c>
      <c r="DV51">
        <v>151.64503821467594</v>
      </c>
      <c r="DW51">
        <v>156.17573941710458</v>
      </c>
      <c r="DX51">
        <v>159.51298580666929</v>
      </c>
      <c r="DY51">
        <v>162.05755291084134</v>
      </c>
      <c r="DZ51">
        <v>164.05460409907715</v>
      </c>
      <c r="EB51">
        <v>124.99202019855866</v>
      </c>
      <c r="EC51">
        <v>154.53665493812838</v>
      </c>
      <c r="ED51">
        <v>164.05460409907715</v>
      </c>
      <c r="EE51">
        <v>168.46537934635529</v>
      </c>
      <c r="EF51">
        <v>170.98067756861832</v>
      </c>
      <c r="EG51">
        <v>172.6004053401129</v>
      </c>
      <c r="EH51">
        <v>173.72892255049885</v>
      </c>
      <c r="EI51">
        <v>174.55966796899449</v>
      </c>
      <c r="EJ51">
        <v>175.19651424093092</v>
      </c>
      <c r="EL51">
        <v>14.339928501342243</v>
      </c>
      <c r="EM51">
        <v>15.945395900922847</v>
      </c>
      <c r="EN51">
        <v>17.942447089158662</v>
      </c>
      <c r="EO51">
        <v>20.487014193330694</v>
      </c>
      <c r="EP51">
        <v>23.82426058289542</v>
      </c>
      <c r="EQ51">
        <v>28.354961785324058</v>
      </c>
      <c r="ER51">
        <v>34.755912553541371</v>
      </c>
      <c r="ES51">
        <v>44.169684513741984</v>
      </c>
      <c r="ET51">
        <v>58.298570330494286</v>
      </c>
      <c r="EV51">
        <v>4.299862820192061</v>
      </c>
      <c r="EW51">
        <v>4.8034857590690763</v>
      </c>
      <c r="EX51">
        <v>5.4403320310055108</v>
      </c>
      <c r="EY51">
        <v>6.271077449501135</v>
      </c>
      <c r="EZ51">
        <v>7.3995946598871001</v>
      </c>
      <c r="FA51">
        <v>9.0193224313816813</v>
      </c>
      <c r="FB51">
        <v>11.534620653644723</v>
      </c>
      <c r="FC51">
        <v>15.945395900922847</v>
      </c>
      <c r="FD51">
        <v>25.463345061871607</v>
      </c>
      <c r="FF51">
        <v>7.0991841687255572</v>
      </c>
      <c r="FG51">
        <v>7.4786895081482498</v>
      </c>
      <c r="FH51">
        <v>7.9007894238397967</v>
      </c>
      <c r="FI51">
        <v>8.3730266747823947</v>
      </c>
      <c r="FJ51">
        <v>8.904820990322051</v>
      </c>
      <c r="FK51">
        <v>9.508085600460916</v>
      </c>
      <c r="FL51">
        <v>10.198100845623401</v>
      </c>
      <c r="FM51">
        <v>10.994777349292121</v>
      </c>
      <c r="FN51">
        <v>11.924523937611909</v>
      </c>
      <c r="FP51">
        <v>2.0978085861921443</v>
      </c>
      <c r="FQ51">
        <v>2.2110939771710747</v>
      </c>
      <c r="FR51">
        <v>2.3373058591238163</v>
      </c>
      <c r="FS51">
        <v>2.4787891085783258</v>
      </c>
      <c r="FT51">
        <v>2.638491825411208</v>
      </c>
      <c r="FU51">
        <v>2.8201724724484762</v>
      </c>
      <c r="FV51">
        <v>3.0286985783405811</v>
      </c>
      <c r="FW51">
        <v>3.270487923183552</v>
      </c>
      <c r="FX51">
        <v>3.5541782355320919</v>
      </c>
      <c r="FZ51">
        <v>4.7062311092252997</v>
      </c>
      <c r="GA51">
        <v>4.8705810140005639</v>
      </c>
      <c r="GB51">
        <v>5.0467942907751677</v>
      </c>
      <c r="GC51">
        <v>5.2361998210000706</v>
      </c>
      <c r="GD51">
        <v>5.4403320310055108</v>
      </c>
      <c r="GE51">
        <v>5.6609720937453432</v>
      </c>
      <c r="GF51">
        <v>5.900199417274834</v>
      </c>
      <c r="GG51">
        <v>6.1604565335906045</v>
      </c>
      <c r="GH51">
        <v>6.44463162205777</v>
      </c>
      <c r="GJ51">
        <v>1.3870359917806496</v>
      </c>
      <c r="GK51">
        <v>1.4356838973417467</v>
      </c>
      <c r="GL51">
        <v>1.4878675288277776</v>
      </c>
      <c r="GM51">
        <v>1.5439867897975148</v>
      </c>
      <c r="GN51">
        <v>1.6045042375623524</v>
      </c>
      <c r="GO51">
        <v>1.6699578498741658</v>
      </c>
      <c r="GP51">
        <v>1.7409770449283286</v>
      </c>
      <c r="GQ51">
        <v>1.8183029644518314</v>
      </c>
      <c r="GR51">
        <v>1.9028144043150235</v>
      </c>
      <c r="GS51">
        <v>1.9955613157077465</v>
      </c>
    </row>
    <row r="52" spans="2:201">
      <c r="B52">
        <v>164.05460409907715</v>
      </c>
      <c r="C52">
        <v>165.37912601136833</v>
      </c>
      <c r="D52">
        <v>166.5042667192042</v>
      </c>
      <c r="E52">
        <v>167.47119229084848</v>
      </c>
      <c r="F52">
        <v>168.3106308245608</v>
      </c>
      <c r="G52">
        <v>169.04593735660166</v>
      </c>
      <c r="H52">
        <v>169.69515353123398</v>
      </c>
      <c r="I52">
        <v>170.27242144859838</v>
      </c>
      <c r="J52">
        <v>170.78897345918332</v>
      </c>
      <c r="L52">
        <v>173.01894259317021</v>
      </c>
      <c r="M52">
        <v>173.62075183238687</v>
      </c>
      <c r="N52">
        <v>174.1273717189332</v>
      </c>
      <c r="O52">
        <v>174.55966796899449</v>
      </c>
      <c r="P52">
        <v>174.9328382741468</v>
      </c>
      <c r="Q52">
        <v>175.25821024548094</v>
      </c>
      <c r="R52">
        <v>175.54439716667369</v>
      </c>
      <c r="S52">
        <v>175.79806364184037</v>
      </c>
      <c r="T52">
        <v>176.0244463273965</v>
      </c>
      <c r="V52">
        <v>99.462322208025611</v>
      </c>
      <c r="W52">
        <v>116.56505117707799</v>
      </c>
      <c r="X52">
        <v>129.80557109226521</v>
      </c>
      <c r="Y52">
        <v>139.39870535499554</v>
      </c>
      <c r="Z52">
        <v>146.30993247402023</v>
      </c>
      <c r="AA52">
        <v>151.38954033403479</v>
      </c>
      <c r="AB52">
        <v>155.22485943116808</v>
      </c>
      <c r="AC52">
        <v>158.19859051364818</v>
      </c>
      <c r="AD52">
        <v>160.55996517182382</v>
      </c>
      <c r="AF52">
        <v>111.25050550713323</v>
      </c>
      <c r="AG52">
        <v>139.39870535499554</v>
      </c>
      <c r="AH52">
        <v>152.78388844269253</v>
      </c>
      <c r="AI52">
        <v>159.8293465881496</v>
      </c>
      <c r="AJ52">
        <v>164.05460409907715</v>
      </c>
      <c r="AK52">
        <v>166.8424572599852</v>
      </c>
      <c r="AL52">
        <v>168.8112000717482</v>
      </c>
      <c r="AM52">
        <v>170.27242144859838</v>
      </c>
      <c r="AN52">
        <v>171.39861514128512</v>
      </c>
      <c r="AP52">
        <v>17.525568373722876</v>
      </c>
      <c r="AQ52">
        <v>19.440034828176195</v>
      </c>
      <c r="AR52">
        <v>21.801409486351815</v>
      </c>
      <c r="AS52">
        <v>24.775140568831915</v>
      </c>
      <c r="AT52">
        <v>28.610459665965209</v>
      </c>
      <c r="AU52">
        <v>33.690067525979785</v>
      </c>
      <c r="AV52">
        <v>40.601294645004465</v>
      </c>
      <c r="AW52">
        <v>50.194428907734803</v>
      </c>
      <c r="AX52">
        <v>63.43494882292201</v>
      </c>
      <c r="AZ52">
        <v>7.7074857229649751</v>
      </c>
      <c r="BA52">
        <v>8.6013848587148942</v>
      </c>
      <c r="BB52">
        <v>9.7275785514016064</v>
      </c>
      <c r="BC52">
        <v>11.188799928251811</v>
      </c>
      <c r="BD52">
        <v>13.157542740014804</v>
      </c>
      <c r="BE52">
        <v>15.945395900922847</v>
      </c>
      <c r="BF52">
        <v>20.170653411850395</v>
      </c>
      <c r="BG52">
        <v>27.216111557307471</v>
      </c>
      <c r="BH52">
        <v>40.601294645004458</v>
      </c>
      <c r="BJ52">
        <v>8.7461622625552025</v>
      </c>
      <c r="BK52">
        <v>9.2110265408166754</v>
      </c>
      <c r="BL52">
        <v>9.7275785514016064</v>
      </c>
      <c r="BM52">
        <v>10.30484646876603</v>
      </c>
      <c r="BN52">
        <v>10.954062643398331</v>
      </c>
      <c r="BO52">
        <v>11.689369175439182</v>
      </c>
      <c r="BP52">
        <v>12.528807709151508</v>
      </c>
      <c r="BQ52">
        <v>13.495733280795804</v>
      </c>
      <c r="BR52">
        <v>14.620873988631658</v>
      </c>
      <c r="BT52">
        <v>3.7722836093798406</v>
      </c>
      <c r="BU52">
        <v>3.9755536726035103</v>
      </c>
      <c r="BV52">
        <v>4.2019363581596281</v>
      </c>
      <c r="BW52">
        <v>4.45560283332631</v>
      </c>
      <c r="BX52">
        <v>4.7417897545190471</v>
      </c>
      <c r="BY52">
        <v>5.0671617258531967</v>
      </c>
      <c r="BZ52">
        <v>5.4403320310055108</v>
      </c>
      <c r="CA52">
        <v>5.8726282810667954</v>
      </c>
      <c r="CB52">
        <v>6.3792481676131274</v>
      </c>
      <c r="CD52">
        <v>5.8067269055315762</v>
      </c>
      <c r="CE52">
        <v>6.0090059574945229</v>
      </c>
      <c r="CF52">
        <v>6.225829064425767</v>
      </c>
      <c r="CG52">
        <v>6.4588163787186517</v>
      </c>
      <c r="CH52">
        <v>6.709836807756929</v>
      </c>
      <c r="CI52">
        <v>6.981057406829791</v>
      </c>
      <c r="CJ52">
        <v>7.2750049578892515</v>
      </c>
      <c r="CK52">
        <v>7.5946433685914343</v>
      </c>
      <c r="CL52">
        <v>7.9434718105903954</v>
      </c>
      <c r="CN52">
        <v>2.4955732833842745</v>
      </c>
      <c r="CO52">
        <v>2.5830206686350579</v>
      </c>
      <c r="CP52">
        <v>2.6768144670864729</v>
      </c>
      <c r="CQ52">
        <v>2.7776710078858713</v>
      </c>
      <c r="CR52">
        <v>2.8864185438646075</v>
      </c>
      <c r="CS52">
        <v>3.0040199786950694</v>
      </c>
      <c r="CT52">
        <v>3.1316013606210618</v>
      </c>
      <c r="CU52">
        <v>3.270487923183552</v>
      </c>
      <c r="CV52">
        <v>3.4222501097837466</v>
      </c>
      <c r="CX52">
        <v>164.05460409907715</v>
      </c>
      <c r="CY52">
        <v>165.37912601136833</v>
      </c>
      <c r="CZ52">
        <v>166.5042667192042</v>
      </c>
      <c r="DA52">
        <v>167.47119229084848</v>
      </c>
      <c r="DB52">
        <v>168.3106308245608</v>
      </c>
      <c r="DC52">
        <v>169.04593735660166</v>
      </c>
      <c r="DD52">
        <v>169.69515353123398</v>
      </c>
      <c r="DE52">
        <v>170.27242144859838</v>
      </c>
      <c r="DF52">
        <v>170.78897345918332</v>
      </c>
      <c r="DH52">
        <v>173.01894259317021</v>
      </c>
      <c r="DI52">
        <v>173.62075183238687</v>
      </c>
      <c r="DJ52">
        <v>174.1273717189332</v>
      </c>
      <c r="DK52">
        <v>174.55966796899449</v>
      </c>
      <c r="DL52">
        <v>174.9328382741468</v>
      </c>
      <c r="DM52">
        <v>175.25821024548094</v>
      </c>
      <c r="DN52">
        <v>175.54439716667369</v>
      </c>
      <c r="DO52">
        <v>175.79806364184037</v>
      </c>
      <c r="DP52">
        <v>176.0244463273965</v>
      </c>
      <c r="DR52">
        <v>99.462322208025611</v>
      </c>
      <c r="DS52">
        <v>116.56505117707799</v>
      </c>
      <c r="DT52">
        <v>129.80557109226521</v>
      </c>
      <c r="DU52">
        <v>139.39870535499554</v>
      </c>
      <c r="DV52">
        <v>146.30993247402023</v>
      </c>
      <c r="DW52">
        <v>151.38954033403479</v>
      </c>
      <c r="DX52">
        <v>155.22485943116808</v>
      </c>
      <c r="DY52">
        <v>158.19859051364818</v>
      </c>
      <c r="DZ52">
        <v>160.55996517182382</v>
      </c>
      <c r="EB52">
        <v>111.25050550713323</v>
      </c>
      <c r="EC52">
        <v>139.39870535499554</v>
      </c>
      <c r="ED52">
        <v>152.78388844269253</v>
      </c>
      <c r="EE52">
        <v>159.8293465881496</v>
      </c>
      <c r="EF52">
        <v>164.05460409907715</v>
      </c>
      <c r="EG52">
        <v>166.8424572599852</v>
      </c>
      <c r="EH52">
        <v>168.8112000717482</v>
      </c>
      <c r="EI52">
        <v>170.27242144859838</v>
      </c>
      <c r="EJ52">
        <v>171.39861514128512</v>
      </c>
      <c r="EL52">
        <v>17.525568373722876</v>
      </c>
      <c r="EM52">
        <v>19.440034828176195</v>
      </c>
      <c r="EN52">
        <v>21.801409486351815</v>
      </c>
      <c r="EO52">
        <v>24.775140568831915</v>
      </c>
      <c r="EP52">
        <v>28.610459665965209</v>
      </c>
      <c r="EQ52">
        <v>33.690067525979785</v>
      </c>
      <c r="ER52">
        <v>40.601294645004465</v>
      </c>
      <c r="ES52">
        <v>50.194428907734803</v>
      </c>
      <c r="ET52">
        <v>63.43494882292201</v>
      </c>
      <c r="EV52">
        <v>7.7074857229649751</v>
      </c>
      <c r="EW52">
        <v>8.6013848587148942</v>
      </c>
      <c r="EX52">
        <v>9.7275785514016064</v>
      </c>
      <c r="EY52">
        <v>11.188799928251811</v>
      </c>
      <c r="EZ52">
        <v>13.157542740014804</v>
      </c>
      <c r="FA52">
        <v>15.945395900922847</v>
      </c>
      <c r="FB52">
        <v>20.170653411850395</v>
      </c>
      <c r="FC52">
        <v>27.216111557307471</v>
      </c>
      <c r="FD52">
        <v>40.601294645004458</v>
      </c>
      <c r="FF52">
        <v>8.7461622625552025</v>
      </c>
      <c r="FG52">
        <v>9.2110265408166754</v>
      </c>
      <c r="FH52">
        <v>9.7275785514016064</v>
      </c>
      <c r="FI52">
        <v>10.30484646876603</v>
      </c>
      <c r="FJ52">
        <v>10.954062643398331</v>
      </c>
      <c r="FK52">
        <v>11.689369175439182</v>
      </c>
      <c r="FL52">
        <v>12.528807709151508</v>
      </c>
      <c r="FM52">
        <v>13.495733280795804</v>
      </c>
      <c r="FN52">
        <v>14.620873988631658</v>
      </c>
      <c r="FP52">
        <v>3.7722836093798406</v>
      </c>
      <c r="FQ52">
        <v>3.9755536726035103</v>
      </c>
      <c r="FR52">
        <v>4.2019363581596281</v>
      </c>
      <c r="FS52">
        <v>4.45560283332631</v>
      </c>
      <c r="FT52">
        <v>4.7417897545190471</v>
      </c>
      <c r="FU52">
        <v>5.0671617258531967</v>
      </c>
      <c r="FV52">
        <v>5.4403320310055108</v>
      </c>
      <c r="FW52">
        <v>5.8726282810667954</v>
      </c>
      <c r="FX52">
        <v>6.3792481676131274</v>
      </c>
      <c r="FZ52">
        <v>5.8067269055315762</v>
      </c>
      <c r="GA52">
        <v>6.0090059574945229</v>
      </c>
      <c r="GB52">
        <v>6.225829064425767</v>
      </c>
      <c r="GC52">
        <v>6.4588163787186517</v>
      </c>
      <c r="GD52">
        <v>6.709836807756929</v>
      </c>
      <c r="GE52">
        <v>6.981057406829791</v>
      </c>
      <c r="GF52">
        <v>7.2750049578892515</v>
      </c>
      <c r="GG52">
        <v>7.5946433685914343</v>
      </c>
      <c r="GH52">
        <v>7.9434718105903954</v>
      </c>
      <c r="GJ52">
        <v>2.4955732833842745</v>
      </c>
      <c r="GK52">
        <v>2.5830206686350579</v>
      </c>
      <c r="GL52">
        <v>2.6768144670864729</v>
      </c>
      <c r="GM52">
        <v>2.7776710078858713</v>
      </c>
      <c r="GN52">
        <v>2.8864185438646075</v>
      </c>
      <c r="GO52">
        <v>3.0040199786950694</v>
      </c>
      <c r="GP52">
        <v>3.1316013606210618</v>
      </c>
      <c r="GQ52">
        <v>3.270487923183552</v>
      </c>
      <c r="GR52">
        <v>3.4222501097837466</v>
      </c>
      <c r="GS52">
        <v>3.5887629603800804</v>
      </c>
    </row>
    <row r="54" spans="2:201">
      <c r="B54">
        <v>1411.2184408863686</v>
      </c>
      <c r="C54">
        <v>1237.2644108373545</v>
      </c>
      <c r="D54">
        <v>1022.9607903697545</v>
      </c>
      <c r="E54">
        <v>843.09330456759301</v>
      </c>
      <c r="F54">
        <v>683.48785611446101</v>
      </c>
      <c r="G54">
        <v>538.35599521684276</v>
      </c>
      <c r="H54">
        <v>428.22875763440885</v>
      </c>
      <c r="I54">
        <v>388.29726039287891</v>
      </c>
      <c r="J54">
        <v>348.61610291454031</v>
      </c>
      <c r="L54">
        <v>6488.4636477848799</v>
      </c>
      <c r="M54">
        <v>5712.3605032696123</v>
      </c>
      <c r="N54">
        <v>4886.0002088408119</v>
      </c>
      <c r="O54">
        <v>3917.1695308379212</v>
      </c>
      <c r="P54">
        <v>3055.9295817678749</v>
      </c>
      <c r="Q54">
        <v>2292.0702015968527</v>
      </c>
      <c r="R54">
        <v>1806.810159747778</v>
      </c>
      <c r="S54">
        <v>1518.9547624961112</v>
      </c>
      <c r="T54">
        <v>1273.0719594529633</v>
      </c>
      <c r="V54">
        <v>552.95969686824469</v>
      </c>
      <c r="W54">
        <v>517.32075460945862</v>
      </c>
      <c r="X54">
        <v>646.27796564107723</v>
      </c>
      <c r="Y54">
        <v>1058.2754027793346</v>
      </c>
      <c r="Z54">
        <v>1184.2816305595638</v>
      </c>
      <c r="AA54">
        <v>1180.4961772111965</v>
      </c>
      <c r="AB54">
        <v>1296.6998362856227</v>
      </c>
      <c r="AC54">
        <v>1342.4677221438815</v>
      </c>
      <c r="AD54">
        <v>1443.5870597450501</v>
      </c>
      <c r="AF54">
        <v>2174.8622517436324</v>
      </c>
      <c r="AG54">
        <v>2160.8054391453657</v>
      </c>
      <c r="AH54">
        <v>2249.6915824779053</v>
      </c>
      <c r="AI54">
        <v>2493.2396444490064</v>
      </c>
      <c r="AJ54">
        <v>3289.6366458363786</v>
      </c>
      <c r="AK54">
        <v>4648.9788837970991</v>
      </c>
      <c r="AL54">
        <v>5904.7783987808416</v>
      </c>
      <c r="AM54">
        <v>6624.747746666003</v>
      </c>
      <c r="AN54">
        <v>7039.7376142331941</v>
      </c>
      <c r="AP54">
        <v>1462.0970900555205</v>
      </c>
      <c r="AQ54">
        <v>1443.5870597450501</v>
      </c>
      <c r="AR54">
        <v>1342.4677221438815</v>
      </c>
      <c r="AS54">
        <v>1296.6998362856227</v>
      </c>
      <c r="AT54">
        <v>1180.4961772111965</v>
      </c>
      <c r="AU54">
        <v>1184.2816305595638</v>
      </c>
      <c r="AV54">
        <v>1058.2754027793346</v>
      </c>
      <c r="AW54">
        <v>646.27796564107723</v>
      </c>
      <c r="AX54">
        <v>517.32075460945862</v>
      </c>
      <c r="AZ54">
        <v>6828.9952196289469</v>
      </c>
      <c r="BA54">
        <v>7039.7376142331941</v>
      </c>
      <c r="BB54">
        <v>6624.747746666003</v>
      </c>
      <c r="BC54">
        <v>5904.7783987808416</v>
      </c>
      <c r="BD54">
        <v>4648.9788837970991</v>
      </c>
      <c r="BE54">
        <v>3289.6366458363786</v>
      </c>
      <c r="BF54">
        <v>2493.2396444490064</v>
      </c>
      <c r="BG54">
        <v>2249.6915824779053</v>
      </c>
      <c r="BH54">
        <v>2160.8054391453657</v>
      </c>
      <c r="BJ54">
        <v>309.72799886601229</v>
      </c>
      <c r="BK54">
        <v>348.61610291454031</v>
      </c>
      <c r="BL54">
        <v>388.29726039287891</v>
      </c>
      <c r="BM54">
        <v>428.22875763440885</v>
      </c>
      <c r="BN54">
        <v>538.35599521684276</v>
      </c>
      <c r="BO54">
        <v>683.48785611446101</v>
      </c>
      <c r="BP54">
        <v>843.09330456759301</v>
      </c>
      <c r="BQ54">
        <v>1022.9607903697545</v>
      </c>
      <c r="BR54">
        <v>1237.2644108373545</v>
      </c>
      <c r="BT54">
        <v>1063.9463246645482</v>
      </c>
      <c r="BU54">
        <v>1273.0719594529633</v>
      </c>
      <c r="BV54">
        <v>1518.9547624961112</v>
      </c>
      <c r="BW54">
        <v>1806.810159747778</v>
      </c>
      <c r="BX54">
        <v>2292.0702015968527</v>
      </c>
      <c r="BY54">
        <v>3055.9295817678749</v>
      </c>
      <c r="BZ54">
        <v>3917.1695308379212</v>
      </c>
      <c r="CA54">
        <v>4886.0002088408119</v>
      </c>
      <c r="CB54">
        <v>5712.3605032696123</v>
      </c>
      <c r="CD54">
        <v>154.63318012686213</v>
      </c>
      <c r="CE54">
        <v>162.55028165291287</v>
      </c>
      <c r="CF54">
        <v>170.89100163908711</v>
      </c>
      <c r="CG54">
        <v>179.68535160949125</v>
      </c>
      <c r="CH54">
        <v>188.9651326441101</v>
      </c>
      <c r="CI54">
        <v>198.76368660745968</v>
      </c>
      <c r="CJ54">
        <v>209.11542325861637</v>
      </c>
      <c r="CK54">
        <v>220.05500270323441</v>
      </c>
      <c r="CL54">
        <v>235.52014656905962</v>
      </c>
      <c r="CN54">
        <v>408.03597268695341</v>
      </c>
      <c r="CO54">
        <v>434.75355887408102</v>
      </c>
      <c r="CP54">
        <v>464.28759567068732</v>
      </c>
      <c r="CQ54">
        <v>497.05357754140601</v>
      </c>
      <c r="CR54">
        <v>533.54670099266252</v>
      </c>
      <c r="CS54">
        <v>574.36089932178652</v>
      </c>
      <c r="CT54">
        <v>620.21337558686673</v>
      </c>
      <c r="CU54">
        <v>671.97651517282475</v>
      </c>
      <c r="CV54">
        <v>730.71981006290696</v>
      </c>
      <c r="CX54">
        <v>1411.2184408863686</v>
      </c>
      <c r="CY54">
        <v>1237.2644108373545</v>
      </c>
      <c r="CZ54">
        <v>1022.9607903697545</v>
      </c>
      <c r="DA54">
        <v>843.09330456759301</v>
      </c>
      <c r="DB54">
        <v>683.48785611446101</v>
      </c>
      <c r="DC54">
        <v>538.35599521684276</v>
      </c>
      <c r="DD54">
        <v>428.22875763440885</v>
      </c>
      <c r="DE54">
        <v>388.29726039287891</v>
      </c>
      <c r="DF54">
        <v>348.61610291454031</v>
      </c>
      <c r="DH54">
        <v>6488.4636477848799</v>
      </c>
      <c r="DI54">
        <v>5712.3605032696123</v>
      </c>
      <c r="DJ54">
        <v>4886.0002088408119</v>
      </c>
      <c r="DK54">
        <v>3917.1695308379212</v>
      </c>
      <c r="DL54">
        <v>3055.9295817678749</v>
      </c>
      <c r="DM54">
        <v>2292.0702015968527</v>
      </c>
      <c r="DN54">
        <v>1806.810159747778</v>
      </c>
      <c r="DO54">
        <v>1518.9547624961112</v>
      </c>
      <c r="DP54">
        <v>1273.0719594529633</v>
      </c>
      <c r="DR54">
        <v>552.95969686824469</v>
      </c>
      <c r="DS54">
        <v>517.32075460945862</v>
      </c>
      <c r="DT54">
        <v>646.27796564107723</v>
      </c>
      <c r="DU54">
        <v>1058.2754027793346</v>
      </c>
      <c r="DV54">
        <v>1184.2816305595638</v>
      </c>
      <c r="DW54">
        <v>1180.4961772111965</v>
      </c>
      <c r="DX54">
        <v>1296.6998362856227</v>
      </c>
      <c r="DY54">
        <v>1342.4677221438815</v>
      </c>
      <c r="DZ54">
        <v>1443.5870597450501</v>
      </c>
      <c r="EB54">
        <v>2174.8622517436324</v>
      </c>
      <c r="EC54">
        <v>2160.8054391453657</v>
      </c>
      <c r="ED54">
        <v>2249.6915824779053</v>
      </c>
      <c r="EE54">
        <v>2493.2396444490064</v>
      </c>
      <c r="EF54">
        <v>3289.6366458363786</v>
      </c>
      <c r="EG54">
        <v>4648.9788837970991</v>
      </c>
      <c r="EH54">
        <v>5904.7783987808416</v>
      </c>
      <c r="EI54">
        <v>6624.747746666003</v>
      </c>
      <c r="EJ54">
        <v>7039.7376142331941</v>
      </c>
      <c r="EL54">
        <v>1462.0970900555205</v>
      </c>
      <c r="EM54">
        <v>1443.5870597450501</v>
      </c>
      <c r="EN54">
        <v>1342.4677221438815</v>
      </c>
      <c r="EO54">
        <v>1296.6998362856227</v>
      </c>
      <c r="EP54">
        <v>1180.4961772111965</v>
      </c>
      <c r="EQ54">
        <v>1184.2816305595638</v>
      </c>
      <c r="ER54">
        <v>1058.2754027793346</v>
      </c>
      <c r="ES54">
        <v>646.27796564107723</v>
      </c>
      <c r="ET54">
        <v>517.32075460945862</v>
      </c>
      <c r="EV54">
        <v>6828.9952196289469</v>
      </c>
      <c r="EW54">
        <v>7039.7376142331941</v>
      </c>
      <c r="EX54">
        <v>6624.747746666003</v>
      </c>
      <c r="EY54">
        <v>5904.7783987808416</v>
      </c>
      <c r="EZ54">
        <v>4648.9788837970991</v>
      </c>
      <c r="FA54">
        <v>3289.6366458363786</v>
      </c>
      <c r="FB54">
        <v>2493.2396444490064</v>
      </c>
      <c r="FC54">
        <v>2249.6915824779053</v>
      </c>
      <c r="FD54">
        <v>2160.8054391453657</v>
      </c>
      <c r="FF54">
        <v>309.72799886601229</v>
      </c>
      <c r="FG54">
        <v>348.61610291454031</v>
      </c>
      <c r="FH54">
        <v>388.29726039287891</v>
      </c>
      <c r="FI54">
        <v>428.22875763440885</v>
      </c>
      <c r="FJ54">
        <v>538.35599521684276</v>
      </c>
      <c r="FK54">
        <v>683.48785611446101</v>
      </c>
      <c r="FL54">
        <v>843.09330456759301</v>
      </c>
      <c r="FM54">
        <v>1022.9607903697545</v>
      </c>
      <c r="FN54">
        <v>1237.2644108373545</v>
      </c>
      <c r="FP54">
        <v>1063.9463246645482</v>
      </c>
      <c r="FQ54">
        <v>1273.0719594529633</v>
      </c>
      <c r="FR54">
        <v>1518.9547624961112</v>
      </c>
      <c r="FS54">
        <v>1806.810159747778</v>
      </c>
      <c r="FT54">
        <v>2292.0702015968527</v>
      </c>
      <c r="FU54">
        <v>3055.9295817678749</v>
      </c>
      <c r="FV54">
        <v>3917.1695308379212</v>
      </c>
      <c r="FW54">
        <v>4886.0002088408119</v>
      </c>
      <c r="FX54">
        <v>5712.3605032696123</v>
      </c>
      <c r="FZ54">
        <v>154.63318012686213</v>
      </c>
      <c r="GA54">
        <v>162.55028165291287</v>
      </c>
      <c r="GB54">
        <v>170.89100163908711</v>
      </c>
      <c r="GC54">
        <v>179.68535160949125</v>
      </c>
      <c r="GD54">
        <v>188.9651326441101</v>
      </c>
      <c r="GE54">
        <v>198.76368660745968</v>
      </c>
      <c r="GF54">
        <v>209.11542325861637</v>
      </c>
      <c r="GG54">
        <v>220.05500270323441</v>
      </c>
      <c r="GH54">
        <v>235.52014656905962</v>
      </c>
      <c r="GJ54">
        <v>408.03597268695341</v>
      </c>
      <c r="GK54">
        <v>434.75355887408102</v>
      </c>
      <c r="GL54">
        <v>464.28759567068732</v>
      </c>
      <c r="GM54">
        <v>497.05357754140601</v>
      </c>
      <c r="GN54">
        <v>533.54670099266252</v>
      </c>
      <c r="GO54">
        <v>574.36089932178652</v>
      </c>
      <c r="GP54">
        <v>620.21337558686673</v>
      </c>
      <c r="GQ54">
        <v>671.97651517282475</v>
      </c>
      <c r="GR54">
        <v>730.71981006290696</v>
      </c>
      <c r="GS54">
        <v>884.76895525697137</v>
      </c>
    </row>
    <row r="55" spans="2:201">
      <c r="B55">
        <v>2335.5365278244903</v>
      </c>
      <c r="C55">
        <v>1967.6751275510255</v>
      </c>
      <c r="D55">
        <v>1577.2251620950765</v>
      </c>
      <c r="E55">
        <v>1260.1656968113034</v>
      </c>
      <c r="F55">
        <v>989.19807681764837</v>
      </c>
      <c r="G55">
        <v>734.24864863699122</v>
      </c>
      <c r="H55">
        <v>547.4570474658675</v>
      </c>
      <c r="I55">
        <v>483.65366245758139</v>
      </c>
      <c r="J55">
        <v>424.36138612173147</v>
      </c>
      <c r="L55">
        <v>6501.0926397346075</v>
      </c>
      <c r="M55">
        <v>5528.3572738786943</v>
      </c>
      <c r="N55">
        <v>4657.572078096131</v>
      </c>
      <c r="O55">
        <v>3706.7645514873311</v>
      </c>
      <c r="P55">
        <v>2812.0600453919424</v>
      </c>
      <c r="Q55">
        <v>2044.8565485501163</v>
      </c>
      <c r="R55">
        <v>1555.8818459981294</v>
      </c>
      <c r="S55">
        <v>1305.0637729044311</v>
      </c>
      <c r="T55">
        <v>1093.288755297993</v>
      </c>
      <c r="V55">
        <v>1585.8357530040885</v>
      </c>
      <c r="W55">
        <v>1456.7156507175764</v>
      </c>
      <c r="X55">
        <v>1529.1532918416503</v>
      </c>
      <c r="Y55">
        <v>1930.7544625969931</v>
      </c>
      <c r="Z55">
        <v>2170.3765824088532</v>
      </c>
      <c r="AA55">
        <v>2294.8082070580185</v>
      </c>
      <c r="AB55">
        <v>2463.6052522232003</v>
      </c>
      <c r="AC55">
        <v>2588.9787090282307</v>
      </c>
      <c r="AD55">
        <v>2570.8485912989845</v>
      </c>
      <c r="AF55">
        <v>2291.8818437015552</v>
      </c>
      <c r="AG55">
        <v>2187.9495299233076</v>
      </c>
      <c r="AH55">
        <v>2251.9214565402276</v>
      </c>
      <c r="AI55">
        <v>2737.6252741154149</v>
      </c>
      <c r="AJ55">
        <v>3926.1924073545324</v>
      </c>
      <c r="AK55">
        <v>5171.6481698032258</v>
      </c>
      <c r="AL55">
        <v>6219.0624385538449</v>
      </c>
      <c r="AM55">
        <v>6921.9850501207002</v>
      </c>
      <c r="AN55">
        <v>7175.9454965060795</v>
      </c>
      <c r="AP55">
        <v>2481.4660294399719</v>
      </c>
      <c r="AQ55">
        <v>2570.8485912989845</v>
      </c>
      <c r="AR55">
        <v>2588.9787090282307</v>
      </c>
      <c r="AS55">
        <v>2463.6052522232003</v>
      </c>
      <c r="AT55">
        <v>2294.8082070580185</v>
      </c>
      <c r="AU55">
        <v>2170.3765824088532</v>
      </c>
      <c r="AV55">
        <v>1930.7544625969931</v>
      </c>
      <c r="AW55">
        <v>1529.1532918416503</v>
      </c>
      <c r="AX55">
        <v>1456.7156507175764</v>
      </c>
      <c r="AZ55">
        <v>6952.3591903553415</v>
      </c>
      <c r="BA55">
        <v>7175.9454965060795</v>
      </c>
      <c r="BB55">
        <v>6921.9850501207002</v>
      </c>
      <c r="BC55">
        <v>6219.0624385538449</v>
      </c>
      <c r="BD55">
        <v>5171.6481698032258</v>
      </c>
      <c r="BE55">
        <v>3926.1924073545324</v>
      </c>
      <c r="BF55">
        <v>2737.6252741154149</v>
      </c>
      <c r="BG55">
        <v>2251.9214565402276</v>
      </c>
      <c r="BH55">
        <v>2187.9495299233076</v>
      </c>
      <c r="BJ55">
        <v>369.23438010424036</v>
      </c>
      <c r="BK55">
        <v>424.36138612173147</v>
      </c>
      <c r="BL55">
        <v>483.65366245758139</v>
      </c>
      <c r="BM55">
        <v>547.4570474658675</v>
      </c>
      <c r="BN55">
        <v>734.24864863699122</v>
      </c>
      <c r="BO55">
        <v>989.19807681764837</v>
      </c>
      <c r="BP55">
        <v>1260.1656968113034</v>
      </c>
      <c r="BQ55">
        <v>1577.2251620950765</v>
      </c>
      <c r="BR55">
        <v>1967.6751275510255</v>
      </c>
      <c r="BT55">
        <v>912.97044376518556</v>
      </c>
      <c r="BU55">
        <v>1093.288755297993</v>
      </c>
      <c r="BV55">
        <v>1305.0637729044311</v>
      </c>
      <c r="BW55">
        <v>1555.8818459981294</v>
      </c>
      <c r="BX55">
        <v>2044.8565485501163</v>
      </c>
      <c r="BY55">
        <v>2812.0600453919424</v>
      </c>
      <c r="BZ55">
        <v>3706.7645514873311</v>
      </c>
      <c r="CA55">
        <v>4657.572078096131</v>
      </c>
      <c r="CB55">
        <v>5528.3572738786943</v>
      </c>
      <c r="CD55">
        <v>169.69972005921173</v>
      </c>
      <c r="CE55">
        <v>179.00419066649292</v>
      </c>
      <c r="CF55">
        <v>188.8972225711214</v>
      </c>
      <c r="CG55">
        <v>199.43488435678643</v>
      </c>
      <c r="CH55">
        <v>210.68029195851673</v>
      </c>
      <c r="CI55">
        <v>222.70467200513011</v>
      </c>
      <c r="CJ55">
        <v>235.58859646497416</v>
      </c>
      <c r="CK55">
        <v>249.42340941671472</v>
      </c>
      <c r="CL55">
        <v>270.122945632273</v>
      </c>
      <c r="CN55">
        <v>354.72621642328045</v>
      </c>
      <c r="CO55">
        <v>374.31216931940492</v>
      </c>
      <c r="CP55">
        <v>396.51951665659112</v>
      </c>
      <c r="CQ55">
        <v>424.01675066816193</v>
      </c>
      <c r="CR55">
        <v>454.62860088850977</v>
      </c>
      <c r="CS55">
        <v>488.85232689435873</v>
      </c>
      <c r="CT55">
        <v>527.28898694118595</v>
      </c>
      <c r="CU55">
        <v>570.67055294687873</v>
      </c>
      <c r="CV55">
        <v>624.60710604289284</v>
      </c>
      <c r="CX55">
        <v>2335.5365278244903</v>
      </c>
      <c r="CY55">
        <v>1967.6751275510255</v>
      </c>
      <c r="CZ55">
        <v>1577.2251620950765</v>
      </c>
      <c r="DA55">
        <v>1260.1656968113034</v>
      </c>
      <c r="DB55">
        <v>989.19807681764837</v>
      </c>
      <c r="DC55">
        <v>734.24864863699122</v>
      </c>
      <c r="DD55">
        <v>547.4570474658675</v>
      </c>
      <c r="DE55">
        <v>483.65366245758139</v>
      </c>
      <c r="DF55">
        <v>424.36138612173147</v>
      </c>
      <c r="DH55">
        <v>6501.0926397346075</v>
      </c>
      <c r="DI55">
        <v>5528.3572738786943</v>
      </c>
      <c r="DJ55">
        <v>4657.572078096131</v>
      </c>
      <c r="DK55">
        <v>3706.7645514873311</v>
      </c>
      <c r="DL55">
        <v>2812.0600453919424</v>
      </c>
      <c r="DM55">
        <v>2044.8565485501163</v>
      </c>
      <c r="DN55">
        <v>1555.8818459981294</v>
      </c>
      <c r="DO55">
        <v>1305.0637729044311</v>
      </c>
      <c r="DP55">
        <v>1093.288755297993</v>
      </c>
      <c r="DR55">
        <v>1585.8357530040885</v>
      </c>
      <c r="DS55">
        <v>1456.7156507175764</v>
      </c>
      <c r="DT55">
        <v>1529.1532918416503</v>
      </c>
      <c r="DU55">
        <v>1930.7544625969931</v>
      </c>
      <c r="DV55">
        <v>2170.3765824088532</v>
      </c>
      <c r="DW55">
        <v>2294.8082070580185</v>
      </c>
      <c r="DX55">
        <v>2463.6052522232003</v>
      </c>
      <c r="DY55">
        <v>2588.9787090282307</v>
      </c>
      <c r="DZ55">
        <v>2570.8485912989845</v>
      </c>
      <c r="EB55">
        <v>2291.8818437015552</v>
      </c>
      <c r="EC55">
        <v>2187.9495299233076</v>
      </c>
      <c r="ED55">
        <v>2251.9214565402276</v>
      </c>
      <c r="EE55">
        <v>2737.6252741154149</v>
      </c>
      <c r="EF55">
        <v>3926.1924073545324</v>
      </c>
      <c r="EG55">
        <v>5171.6481698032258</v>
      </c>
      <c r="EH55">
        <v>6219.0624385538449</v>
      </c>
      <c r="EI55">
        <v>6921.9850501207002</v>
      </c>
      <c r="EJ55">
        <v>7175.9454965060795</v>
      </c>
      <c r="EL55">
        <v>2481.4660294399719</v>
      </c>
      <c r="EM55">
        <v>2570.8485912989845</v>
      </c>
      <c r="EN55">
        <v>2588.9787090282307</v>
      </c>
      <c r="EO55">
        <v>2463.6052522232003</v>
      </c>
      <c r="EP55">
        <v>2294.8082070580185</v>
      </c>
      <c r="EQ55">
        <v>2170.3765824088532</v>
      </c>
      <c r="ER55">
        <v>1930.7544625969931</v>
      </c>
      <c r="ES55">
        <v>1529.1532918416503</v>
      </c>
      <c r="ET55">
        <v>1456.7156507175764</v>
      </c>
      <c r="EV55">
        <v>6952.3591903553415</v>
      </c>
      <c r="EW55">
        <v>7175.9454965060795</v>
      </c>
      <c r="EX55">
        <v>6921.9850501207002</v>
      </c>
      <c r="EY55">
        <v>6219.0624385538449</v>
      </c>
      <c r="EZ55">
        <v>5171.6481698032258</v>
      </c>
      <c r="FA55">
        <v>3926.1924073545324</v>
      </c>
      <c r="FB55">
        <v>2737.6252741154149</v>
      </c>
      <c r="FC55">
        <v>2251.9214565402276</v>
      </c>
      <c r="FD55">
        <v>2187.9495299233076</v>
      </c>
      <c r="FF55">
        <v>369.23438010424036</v>
      </c>
      <c r="FG55">
        <v>424.36138612173147</v>
      </c>
      <c r="FH55">
        <v>483.65366245758139</v>
      </c>
      <c r="FI55">
        <v>547.4570474658675</v>
      </c>
      <c r="FJ55">
        <v>734.24864863699122</v>
      </c>
      <c r="FK55">
        <v>989.19807681764837</v>
      </c>
      <c r="FL55">
        <v>1260.1656968113034</v>
      </c>
      <c r="FM55">
        <v>1577.2251620950765</v>
      </c>
      <c r="FN55">
        <v>1967.6751275510255</v>
      </c>
      <c r="FP55">
        <v>912.97044376518556</v>
      </c>
      <c r="FQ55">
        <v>1093.288755297993</v>
      </c>
      <c r="FR55">
        <v>1305.0637729044311</v>
      </c>
      <c r="FS55">
        <v>1555.8818459981294</v>
      </c>
      <c r="FT55">
        <v>2044.8565485501163</v>
      </c>
      <c r="FU55">
        <v>2812.0600453919424</v>
      </c>
      <c r="FV55">
        <v>3706.7645514873311</v>
      </c>
      <c r="FW55">
        <v>4657.572078096131</v>
      </c>
      <c r="FX55">
        <v>5528.3572738786943</v>
      </c>
      <c r="FZ55">
        <v>169.69972005921173</v>
      </c>
      <c r="GA55">
        <v>179.00419066649292</v>
      </c>
      <c r="GB55">
        <v>188.8972225711214</v>
      </c>
      <c r="GC55">
        <v>199.43488435678643</v>
      </c>
      <c r="GD55">
        <v>210.68029195851673</v>
      </c>
      <c r="GE55">
        <v>222.70467200513011</v>
      </c>
      <c r="GF55">
        <v>235.58859646497416</v>
      </c>
      <c r="GG55">
        <v>249.42340941671472</v>
      </c>
      <c r="GH55">
        <v>270.122945632273</v>
      </c>
      <c r="GJ55">
        <v>354.72621642328045</v>
      </c>
      <c r="GK55">
        <v>374.31216931940492</v>
      </c>
      <c r="GL55">
        <v>396.51951665659112</v>
      </c>
      <c r="GM55">
        <v>424.01675066816193</v>
      </c>
      <c r="GN55">
        <v>454.62860088850977</v>
      </c>
      <c r="GO55">
        <v>488.85232689435873</v>
      </c>
      <c r="GP55">
        <v>527.28898694118595</v>
      </c>
      <c r="GQ55">
        <v>570.67055294687873</v>
      </c>
      <c r="GR55">
        <v>624.60710604289284</v>
      </c>
      <c r="GS55">
        <v>758.26318363384144</v>
      </c>
    </row>
    <row r="56" spans="2:201">
      <c r="B56">
        <v>3547.0210116173735</v>
      </c>
      <c r="C56">
        <v>2882.8526035378682</v>
      </c>
      <c r="D56">
        <v>2231.9088980683191</v>
      </c>
      <c r="E56">
        <v>1718.9465823316195</v>
      </c>
      <c r="F56">
        <v>1300.1522975386508</v>
      </c>
      <c r="G56">
        <v>929.94992317255719</v>
      </c>
      <c r="H56">
        <v>666.50249976318651</v>
      </c>
      <c r="I56">
        <v>578.74182945785435</v>
      </c>
      <c r="J56">
        <v>499.7923589147785</v>
      </c>
      <c r="L56">
        <v>6368.4526046682904</v>
      </c>
      <c r="M56">
        <v>5203.0505659264591</v>
      </c>
      <c r="N56">
        <v>4211.2098864682876</v>
      </c>
      <c r="O56">
        <v>3264.0382737461796</v>
      </c>
      <c r="P56">
        <v>2441.3956320955795</v>
      </c>
      <c r="Q56">
        <v>1747.6953590165713</v>
      </c>
      <c r="R56">
        <v>1289.2258206557099</v>
      </c>
      <c r="S56">
        <v>1081.5720100308172</v>
      </c>
      <c r="T56">
        <v>905.81937401914706</v>
      </c>
      <c r="V56">
        <v>1881.9465385787412</v>
      </c>
      <c r="W56">
        <v>2018.3148718939296</v>
      </c>
      <c r="X56">
        <v>2205.6575114413872</v>
      </c>
      <c r="Y56">
        <v>2542.3889243953549</v>
      </c>
      <c r="Z56">
        <v>2896.3950513435634</v>
      </c>
      <c r="AA56">
        <v>3174.6087009602088</v>
      </c>
      <c r="AB56">
        <v>3530.3588860191476</v>
      </c>
      <c r="AC56">
        <v>3824.5816160508666</v>
      </c>
      <c r="AD56">
        <v>3926.9038807128104</v>
      </c>
      <c r="AF56">
        <v>2204.1271451918433</v>
      </c>
      <c r="AG56">
        <v>2103.6284737987844</v>
      </c>
      <c r="AH56">
        <v>2346.8324499562332</v>
      </c>
      <c r="AI56">
        <v>3096.4899132276032</v>
      </c>
      <c r="AJ56">
        <v>4238.8003046604417</v>
      </c>
      <c r="AK56">
        <v>5217.3519506644352</v>
      </c>
      <c r="AL56">
        <v>6098.2119467167468</v>
      </c>
      <c r="AM56">
        <v>6734.5371138426999</v>
      </c>
      <c r="AN56">
        <v>6858.5974390746833</v>
      </c>
      <c r="AP56">
        <v>3811.7986826541978</v>
      </c>
      <c r="AQ56">
        <v>3926.9038807128104</v>
      </c>
      <c r="AR56">
        <v>3824.5816160508666</v>
      </c>
      <c r="AS56">
        <v>3530.3588860191476</v>
      </c>
      <c r="AT56">
        <v>3174.6087009602088</v>
      </c>
      <c r="AU56">
        <v>2896.3950513435634</v>
      </c>
      <c r="AV56">
        <v>2542.3889243953549</v>
      </c>
      <c r="AW56">
        <v>2205.6575114413872</v>
      </c>
      <c r="AX56">
        <v>2018.3148718939296</v>
      </c>
      <c r="AZ56">
        <v>6662.6540702573129</v>
      </c>
      <c r="BA56">
        <v>6858.5974390746833</v>
      </c>
      <c r="BB56">
        <v>6734.5371138426999</v>
      </c>
      <c r="BC56">
        <v>6098.2119467167468</v>
      </c>
      <c r="BD56">
        <v>5217.3519506644352</v>
      </c>
      <c r="BE56">
        <v>4238.8003046604417</v>
      </c>
      <c r="BF56">
        <v>3096.4899132276032</v>
      </c>
      <c r="BG56">
        <v>2346.8324499562332</v>
      </c>
      <c r="BH56">
        <v>2103.6284737987844</v>
      </c>
      <c r="BJ56">
        <v>428.40520826075544</v>
      </c>
      <c r="BK56">
        <v>499.7923589147785</v>
      </c>
      <c r="BL56">
        <v>578.74182945785435</v>
      </c>
      <c r="BM56">
        <v>666.50249976318651</v>
      </c>
      <c r="BN56">
        <v>929.94992317255719</v>
      </c>
      <c r="BO56">
        <v>1300.1522975386508</v>
      </c>
      <c r="BP56">
        <v>1718.9465823316195</v>
      </c>
      <c r="BQ56">
        <v>2231.9088980683191</v>
      </c>
      <c r="BR56">
        <v>2882.8526035378682</v>
      </c>
      <c r="BT56">
        <v>755.77681292105854</v>
      </c>
      <c r="BU56">
        <v>905.81937401914706</v>
      </c>
      <c r="BV56">
        <v>1081.5720100308172</v>
      </c>
      <c r="BW56">
        <v>1289.2258206557099</v>
      </c>
      <c r="BX56">
        <v>1747.6953590165713</v>
      </c>
      <c r="BY56">
        <v>2441.3956320955795</v>
      </c>
      <c r="BZ56">
        <v>3264.0382737461796</v>
      </c>
      <c r="CA56">
        <v>4211.2098864682876</v>
      </c>
      <c r="CB56">
        <v>5203.0505659264591</v>
      </c>
      <c r="CD56">
        <v>184.69545846303393</v>
      </c>
      <c r="CE56">
        <v>195.38179274230603</v>
      </c>
      <c r="CF56">
        <v>206.82114646904824</v>
      </c>
      <c r="CG56">
        <v>219.09562026002041</v>
      </c>
      <c r="CH56">
        <v>232.2996313632101</v>
      </c>
      <c r="CI56">
        <v>246.54229790243522</v>
      </c>
      <c r="CJ56">
        <v>261.95039491492923</v>
      </c>
      <c r="CK56">
        <v>278.67204730957508</v>
      </c>
      <c r="CL56">
        <v>304.38873678279333</v>
      </c>
      <c r="CN56">
        <v>315.9905007642883</v>
      </c>
      <c r="CO56">
        <v>333.61112126371034</v>
      </c>
      <c r="CP56">
        <v>352.6589077788795</v>
      </c>
      <c r="CQ56">
        <v>373.31141337517221</v>
      </c>
      <c r="CR56">
        <v>395.77643895833069</v>
      </c>
      <c r="CS56">
        <v>420.29866513835441</v>
      </c>
      <c r="CT56">
        <v>447.1680846221376</v>
      </c>
      <c r="CU56">
        <v>476.7308248654524</v>
      </c>
      <c r="CV56">
        <v>516.98416151655033</v>
      </c>
      <c r="CX56">
        <v>3547.0210116173735</v>
      </c>
      <c r="CY56">
        <v>2882.8526035378682</v>
      </c>
      <c r="CZ56">
        <v>2231.9088980683191</v>
      </c>
      <c r="DA56">
        <v>1718.9465823316195</v>
      </c>
      <c r="DB56">
        <v>1300.1522975386508</v>
      </c>
      <c r="DC56">
        <v>929.94992317255719</v>
      </c>
      <c r="DD56">
        <v>666.50249976318651</v>
      </c>
      <c r="DE56">
        <v>578.74182945785435</v>
      </c>
      <c r="DF56">
        <v>499.7923589147785</v>
      </c>
      <c r="DH56">
        <v>6368.4526046682904</v>
      </c>
      <c r="DI56">
        <v>5203.0505659264591</v>
      </c>
      <c r="DJ56">
        <v>4211.2098864682876</v>
      </c>
      <c r="DK56">
        <v>3264.0382737461796</v>
      </c>
      <c r="DL56">
        <v>2441.3956320955795</v>
      </c>
      <c r="DM56">
        <v>1747.6953590165713</v>
      </c>
      <c r="DN56">
        <v>1289.2258206557099</v>
      </c>
      <c r="DO56">
        <v>1081.5720100308172</v>
      </c>
      <c r="DP56">
        <v>905.81937401914706</v>
      </c>
      <c r="DR56">
        <v>1881.9465385787412</v>
      </c>
      <c r="DS56">
        <v>2018.3148718939296</v>
      </c>
      <c r="DT56">
        <v>2205.6575114413872</v>
      </c>
      <c r="DU56">
        <v>2542.3889243953549</v>
      </c>
      <c r="DV56">
        <v>2896.3950513435634</v>
      </c>
      <c r="DW56">
        <v>3174.6087009602088</v>
      </c>
      <c r="DX56">
        <v>3530.3588860191476</v>
      </c>
      <c r="DY56">
        <v>3824.5816160508666</v>
      </c>
      <c r="DZ56">
        <v>3926.9038807128104</v>
      </c>
      <c r="EB56">
        <v>2204.1271451918433</v>
      </c>
      <c r="EC56">
        <v>2103.6284737987844</v>
      </c>
      <c r="ED56">
        <v>2346.8324499562332</v>
      </c>
      <c r="EE56">
        <v>3096.4899132276032</v>
      </c>
      <c r="EF56">
        <v>4238.8003046604417</v>
      </c>
      <c r="EG56">
        <v>5217.3519506644352</v>
      </c>
      <c r="EH56">
        <v>6098.2119467167468</v>
      </c>
      <c r="EI56">
        <v>6734.5371138426999</v>
      </c>
      <c r="EJ56">
        <v>6858.5974390746833</v>
      </c>
      <c r="EL56">
        <v>3811.7986826541978</v>
      </c>
      <c r="EM56">
        <v>3926.9038807128104</v>
      </c>
      <c r="EN56">
        <v>3824.5816160508666</v>
      </c>
      <c r="EO56">
        <v>3530.3588860191476</v>
      </c>
      <c r="EP56">
        <v>3174.6087009602088</v>
      </c>
      <c r="EQ56">
        <v>2896.3950513435634</v>
      </c>
      <c r="ER56">
        <v>2542.3889243953549</v>
      </c>
      <c r="ES56">
        <v>2205.6575114413872</v>
      </c>
      <c r="ET56">
        <v>2018.3148718939296</v>
      </c>
      <c r="EV56">
        <v>6662.6540702573129</v>
      </c>
      <c r="EW56">
        <v>6858.5974390746833</v>
      </c>
      <c r="EX56">
        <v>6734.5371138426999</v>
      </c>
      <c r="EY56">
        <v>6098.2119467167468</v>
      </c>
      <c r="EZ56">
        <v>5217.3519506644352</v>
      </c>
      <c r="FA56">
        <v>4238.8003046604417</v>
      </c>
      <c r="FB56">
        <v>3096.4899132276032</v>
      </c>
      <c r="FC56">
        <v>2346.8324499562332</v>
      </c>
      <c r="FD56">
        <v>2103.6284737987844</v>
      </c>
      <c r="FF56">
        <v>428.40520826075544</v>
      </c>
      <c r="FG56">
        <v>499.7923589147785</v>
      </c>
      <c r="FH56">
        <v>578.74182945785435</v>
      </c>
      <c r="FI56">
        <v>666.50249976318651</v>
      </c>
      <c r="FJ56">
        <v>929.94992317255719</v>
      </c>
      <c r="FK56">
        <v>1300.1522975386508</v>
      </c>
      <c r="FL56">
        <v>1718.9465823316195</v>
      </c>
      <c r="FM56">
        <v>2231.9088980683191</v>
      </c>
      <c r="FN56">
        <v>2882.8526035378682</v>
      </c>
      <c r="FP56">
        <v>755.77681292105854</v>
      </c>
      <c r="FQ56">
        <v>905.81937401914706</v>
      </c>
      <c r="FR56">
        <v>1081.5720100308172</v>
      </c>
      <c r="FS56">
        <v>1289.2258206557099</v>
      </c>
      <c r="FT56">
        <v>1747.6953590165713</v>
      </c>
      <c r="FU56">
        <v>2441.3956320955795</v>
      </c>
      <c r="FV56">
        <v>3264.0382737461796</v>
      </c>
      <c r="FW56">
        <v>4211.2098864682876</v>
      </c>
      <c r="FX56">
        <v>5203.0505659264591</v>
      </c>
      <c r="FZ56">
        <v>184.69545846303393</v>
      </c>
      <c r="GA56">
        <v>195.38179274230603</v>
      </c>
      <c r="GB56">
        <v>206.82114646904824</v>
      </c>
      <c r="GC56">
        <v>219.09562026002041</v>
      </c>
      <c r="GD56">
        <v>232.2996313632101</v>
      </c>
      <c r="GE56">
        <v>246.54229790243522</v>
      </c>
      <c r="GF56">
        <v>261.95039491492923</v>
      </c>
      <c r="GG56">
        <v>278.67204730957508</v>
      </c>
      <c r="GH56">
        <v>304.38873678279333</v>
      </c>
      <c r="GJ56">
        <v>315.9905007642883</v>
      </c>
      <c r="GK56">
        <v>333.61112126371034</v>
      </c>
      <c r="GL56">
        <v>352.6589077788795</v>
      </c>
      <c r="GM56">
        <v>373.31141337517221</v>
      </c>
      <c r="GN56">
        <v>395.77643895833069</v>
      </c>
      <c r="GO56">
        <v>420.29866513835441</v>
      </c>
      <c r="GP56">
        <v>447.1680846221376</v>
      </c>
      <c r="GQ56">
        <v>476.7308248654524</v>
      </c>
      <c r="GR56">
        <v>516.98416151655033</v>
      </c>
      <c r="GS56">
        <v>626.67975769897123</v>
      </c>
    </row>
    <row r="57" spans="2:201">
      <c r="B57">
        <v>4421.0062920017826</v>
      </c>
      <c r="C57">
        <v>3591.3635121577827</v>
      </c>
      <c r="D57">
        <v>2797.1252724621399</v>
      </c>
      <c r="E57">
        <v>2146.7955393165003</v>
      </c>
      <c r="F57">
        <v>1606.3842418060945</v>
      </c>
      <c r="G57">
        <v>1140.9526300246519</v>
      </c>
      <c r="H57">
        <v>815.41980003487311</v>
      </c>
      <c r="I57">
        <v>701.95092104936566</v>
      </c>
      <c r="J57">
        <v>601.78395397933525</v>
      </c>
      <c r="L57">
        <v>5585.6941121511281</v>
      </c>
      <c r="M57">
        <v>4547.3934369138642</v>
      </c>
      <c r="N57">
        <v>3606.5416392888728</v>
      </c>
      <c r="O57">
        <v>2766.1199187188322</v>
      </c>
      <c r="P57">
        <v>2042.6210429101557</v>
      </c>
      <c r="Q57">
        <v>1445.5082835977264</v>
      </c>
      <c r="R57">
        <v>1048.2487502481372</v>
      </c>
      <c r="S57">
        <v>896.38234390344269</v>
      </c>
      <c r="T57">
        <v>764.40803358665266</v>
      </c>
      <c r="V57">
        <v>1911.2481080524458</v>
      </c>
      <c r="W57">
        <v>2243.1829463159438</v>
      </c>
      <c r="X57">
        <v>2533.0967780779142</v>
      </c>
      <c r="Y57">
        <v>2862.5764329111144</v>
      </c>
      <c r="Z57">
        <v>3358.0764584937688</v>
      </c>
      <c r="AA57">
        <v>3782.6953412008256</v>
      </c>
      <c r="AB57">
        <v>4264.3410768460471</v>
      </c>
      <c r="AC57">
        <v>4666.2738325983973</v>
      </c>
      <c r="AD57">
        <v>4829.1148657313161</v>
      </c>
      <c r="AF57">
        <v>1963.4904699242786</v>
      </c>
      <c r="AG57">
        <v>2060.1368853967801</v>
      </c>
      <c r="AH57">
        <v>2456.4836640519634</v>
      </c>
      <c r="AI57">
        <v>3244.9269424979698</v>
      </c>
      <c r="AJ57">
        <v>4092.0559229716437</v>
      </c>
      <c r="AK57">
        <v>4742.9859476353004</v>
      </c>
      <c r="AL57">
        <v>5398.5740099870418</v>
      </c>
      <c r="AM57">
        <v>6000.9082556014691</v>
      </c>
      <c r="AN57">
        <v>6177.4552864715833</v>
      </c>
      <c r="AP57">
        <v>4717.0029722636109</v>
      </c>
      <c r="AQ57">
        <v>4829.1148657313161</v>
      </c>
      <c r="AR57">
        <v>4666.2738325983973</v>
      </c>
      <c r="AS57">
        <v>4264.3410768460471</v>
      </c>
      <c r="AT57">
        <v>3782.6953412008256</v>
      </c>
      <c r="AU57">
        <v>3358.0764584937688</v>
      </c>
      <c r="AV57">
        <v>2862.5764329111144</v>
      </c>
      <c r="AW57">
        <v>2533.0967780779142</v>
      </c>
      <c r="AX57">
        <v>2243.1829463159438</v>
      </c>
      <c r="AZ57">
        <v>5964.4867582674069</v>
      </c>
      <c r="BA57">
        <v>6177.4552864715833</v>
      </c>
      <c r="BB57">
        <v>6000.9082556014691</v>
      </c>
      <c r="BC57">
        <v>5398.5740099870418</v>
      </c>
      <c r="BD57">
        <v>4742.9859476353004</v>
      </c>
      <c r="BE57">
        <v>4092.0559229716437</v>
      </c>
      <c r="BF57">
        <v>3244.9269424979698</v>
      </c>
      <c r="BG57">
        <v>2456.4836640519634</v>
      </c>
      <c r="BH57">
        <v>2060.1368853967801</v>
      </c>
      <c r="BJ57">
        <v>512.73756648540984</v>
      </c>
      <c r="BK57">
        <v>601.78395397933525</v>
      </c>
      <c r="BL57">
        <v>701.95092104936566</v>
      </c>
      <c r="BM57">
        <v>815.41980003487311</v>
      </c>
      <c r="BN57">
        <v>1140.9526300246519</v>
      </c>
      <c r="BO57">
        <v>1606.3842418060945</v>
      </c>
      <c r="BP57">
        <v>2146.7955393165003</v>
      </c>
      <c r="BQ57">
        <v>2797.1252724621399</v>
      </c>
      <c r="BR57">
        <v>3591.3635121577827</v>
      </c>
      <c r="BT57">
        <v>648.79599829782205</v>
      </c>
      <c r="BU57">
        <v>764.40803358665266</v>
      </c>
      <c r="BV57">
        <v>896.38234390344269</v>
      </c>
      <c r="BW57">
        <v>1048.2487502481372</v>
      </c>
      <c r="BX57">
        <v>1445.5082835977264</v>
      </c>
      <c r="BY57">
        <v>2042.6210429101557</v>
      </c>
      <c r="BZ57">
        <v>2766.1199187188322</v>
      </c>
      <c r="CA57">
        <v>3606.5416392888728</v>
      </c>
      <c r="CB57">
        <v>4547.3934369138642</v>
      </c>
      <c r="CD57">
        <v>218.03936185438948</v>
      </c>
      <c r="CE57">
        <v>230.61088351411198</v>
      </c>
      <c r="CF57">
        <v>244.12577060365282</v>
      </c>
      <c r="CG57">
        <v>258.69382202415994</v>
      </c>
      <c r="CH57">
        <v>274.44247879278578</v>
      </c>
      <c r="CI57">
        <v>291.52049771907457</v>
      </c>
      <c r="CJ57">
        <v>310.10257819864404</v>
      </c>
      <c r="CK57">
        <v>330.39524212252036</v>
      </c>
      <c r="CL57">
        <v>361.41143463380797</v>
      </c>
      <c r="CN57">
        <v>276.97643101796598</v>
      </c>
      <c r="CO57">
        <v>292.59747659016324</v>
      </c>
      <c r="CP57">
        <v>309.45548284491622</v>
      </c>
      <c r="CQ57">
        <v>327.70160636456666</v>
      </c>
      <c r="CR57">
        <v>347.51239514815467</v>
      </c>
      <c r="CS57">
        <v>369.09529634087073</v>
      </c>
      <c r="CT57">
        <v>392.69564782910231</v>
      </c>
      <c r="CU57">
        <v>418.6056373705016</v>
      </c>
      <c r="CV57">
        <v>456.18767479963549</v>
      </c>
      <c r="CX57">
        <v>4421.0062920017826</v>
      </c>
      <c r="CY57">
        <v>3591.3635121577827</v>
      </c>
      <c r="CZ57">
        <v>2797.1252724621399</v>
      </c>
      <c r="DA57">
        <v>2146.7955393165003</v>
      </c>
      <c r="DB57">
        <v>1606.3842418060945</v>
      </c>
      <c r="DC57">
        <v>1140.9526300246519</v>
      </c>
      <c r="DD57">
        <v>815.41980003487311</v>
      </c>
      <c r="DE57">
        <v>701.95092104936566</v>
      </c>
      <c r="DF57">
        <v>601.78395397933525</v>
      </c>
      <c r="DH57">
        <v>5585.6941121511281</v>
      </c>
      <c r="DI57">
        <v>4547.3934369138642</v>
      </c>
      <c r="DJ57">
        <v>3606.5416392888728</v>
      </c>
      <c r="DK57">
        <v>2766.1199187188322</v>
      </c>
      <c r="DL57">
        <v>2042.6210429101557</v>
      </c>
      <c r="DM57">
        <v>1445.5082835977264</v>
      </c>
      <c r="DN57">
        <v>1048.2487502481372</v>
      </c>
      <c r="DO57">
        <v>896.38234390344269</v>
      </c>
      <c r="DP57">
        <v>764.40803358665266</v>
      </c>
      <c r="DR57">
        <v>1911.2481080524458</v>
      </c>
      <c r="DS57">
        <v>2243.1829463159438</v>
      </c>
      <c r="DT57">
        <v>2533.0967780779142</v>
      </c>
      <c r="DU57">
        <v>2862.5764329111144</v>
      </c>
      <c r="DV57">
        <v>3358.0764584937688</v>
      </c>
      <c r="DW57">
        <v>3782.6953412008256</v>
      </c>
      <c r="DX57">
        <v>4264.3410768460471</v>
      </c>
      <c r="DY57">
        <v>4666.2738325983973</v>
      </c>
      <c r="DZ57">
        <v>4829.1148657313161</v>
      </c>
      <c r="EB57">
        <v>1963.4904699242786</v>
      </c>
      <c r="EC57">
        <v>2060.1368853967801</v>
      </c>
      <c r="ED57">
        <v>2456.4836640519634</v>
      </c>
      <c r="EE57">
        <v>3244.9269424979698</v>
      </c>
      <c r="EF57">
        <v>4092.0559229716437</v>
      </c>
      <c r="EG57">
        <v>4742.9859476353004</v>
      </c>
      <c r="EH57">
        <v>5398.5740099870418</v>
      </c>
      <c r="EI57">
        <v>6000.9082556014691</v>
      </c>
      <c r="EJ57">
        <v>6177.4552864715833</v>
      </c>
      <c r="EL57">
        <v>4717.0029722636109</v>
      </c>
      <c r="EM57">
        <v>4829.1148657313161</v>
      </c>
      <c r="EN57">
        <v>4666.2738325983973</v>
      </c>
      <c r="EO57">
        <v>4264.3410768460471</v>
      </c>
      <c r="EP57">
        <v>3782.6953412008256</v>
      </c>
      <c r="EQ57">
        <v>3358.0764584937688</v>
      </c>
      <c r="ER57">
        <v>2862.5764329111144</v>
      </c>
      <c r="ES57">
        <v>2533.0967780779142</v>
      </c>
      <c r="ET57">
        <v>2243.1829463159438</v>
      </c>
      <c r="EV57">
        <v>5964.4867582674069</v>
      </c>
      <c r="EW57">
        <v>6177.4552864715833</v>
      </c>
      <c r="EX57">
        <v>6000.9082556014691</v>
      </c>
      <c r="EY57">
        <v>5398.5740099870418</v>
      </c>
      <c r="EZ57">
        <v>4742.9859476353004</v>
      </c>
      <c r="FA57">
        <v>4092.0559229716437</v>
      </c>
      <c r="FB57">
        <v>3244.9269424979698</v>
      </c>
      <c r="FC57">
        <v>2456.4836640519634</v>
      </c>
      <c r="FD57">
        <v>2060.1368853967801</v>
      </c>
      <c r="FF57">
        <v>512.73756648540984</v>
      </c>
      <c r="FG57">
        <v>601.78395397933525</v>
      </c>
      <c r="FH57">
        <v>701.95092104936566</v>
      </c>
      <c r="FI57">
        <v>815.41980003487311</v>
      </c>
      <c r="FJ57">
        <v>1140.9526300246519</v>
      </c>
      <c r="FK57">
        <v>1606.3842418060945</v>
      </c>
      <c r="FL57">
        <v>2146.7955393165003</v>
      </c>
      <c r="FM57">
        <v>2797.1252724621399</v>
      </c>
      <c r="FN57">
        <v>3591.3635121577827</v>
      </c>
      <c r="FP57">
        <v>648.79599829782205</v>
      </c>
      <c r="FQ57">
        <v>764.40803358665266</v>
      </c>
      <c r="FR57">
        <v>896.38234390344269</v>
      </c>
      <c r="FS57">
        <v>1048.2487502481372</v>
      </c>
      <c r="FT57">
        <v>1445.5082835977264</v>
      </c>
      <c r="FU57">
        <v>2042.6210429101557</v>
      </c>
      <c r="FV57">
        <v>2766.1199187188322</v>
      </c>
      <c r="FW57">
        <v>3606.5416392888728</v>
      </c>
      <c r="FX57">
        <v>4547.3934369138642</v>
      </c>
      <c r="FZ57">
        <v>218.03936185438948</v>
      </c>
      <c r="GA57">
        <v>230.61088351411198</v>
      </c>
      <c r="GB57">
        <v>244.12577060365282</v>
      </c>
      <c r="GC57">
        <v>258.69382202415994</v>
      </c>
      <c r="GD57">
        <v>274.44247879278578</v>
      </c>
      <c r="GE57">
        <v>291.52049771907457</v>
      </c>
      <c r="GF57">
        <v>310.10257819864404</v>
      </c>
      <c r="GG57">
        <v>330.39524212252036</v>
      </c>
      <c r="GH57">
        <v>361.41143463380797</v>
      </c>
      <c r="GJ57">
        <v>276.97643101796598</v>
      </c>
      <c r="GK57">
        <v>292.59747659016324</v>
      </c>
      <c r="GL57">
        <v>309.45548284491622</v>
      </c>
      <c r="GM57">
        <v>327.70160636456666</v>
      </c>
      <c r="GN57">
        <v>347.51239514815467</v>
      </c>
      <c r="GO57">
        <v>369.09529634087073</v>
      </c>
      <c r="GP57">
        <v>392.69564782910231</v>
      </c>
      <c r="GQ57">
        <v>418.6056373705016</v>
      </c>
      <c r="GR57">
        <v>456.18767479963549</v>
      </c>
      <c r="GS57">
        <v>546.78501826404613</v>
      </c>
    </row>
    <row r="58" spans="2:201">
      <c r="B58">
        <v>5585.6941121511281</v>
      </c>
      <c r="C58">
        <v>4547.3934369138642</v>
      </c>
      <c r="D58">
        <v>3606.5416392888728</v>
      </c>
      <c r="E58">
        <v>2766.1199187188322</v>
      </c>
      <c r="F58">
        <v>2042.6210429101557</v>
      </c>
      <c r="G58">
        <v>1445.5082835977264</v>
      </c>
      <c r="H58">
        <v>1048.2487502481372</v>
      </c>
      <c r="I58">
        <v>896.38234390344269</v>
      </c>
      <c r="J58">
        <v>764.40803358665266</v>
      </c>
      <c r="L58">
        <v>4421.0062920017826</v>
      </c>
      <c r="M58">
        <v>3591.3635121577827</v>
      </c>
      <c r="N58">
        <v>2797.1252724621399</v>
      </c>
      <c r="O58">
        <v>2146.7955393165003</v>
      </c>
      <c r="P58">
        <v>1606.3842418060945</v>
      </c>
      <c r="Q58">
        <v>1140.9526300246519</v>
      </c>
      <c r="R58">
        <v>815.41980003487311</v>
      </c>
      <c r="S58">
        <v>701.95092104936566</v>
      </c>
      <c r="T58">
        <v>601.78395397933525</v>
      </c>
      <c r="V58">
        <v>1963.4904699242786</v>
      </c>
      <c r="W58">
        <v>2060.1368853967801</v>
      </c>
      <c r="X58">
        <v>2456.4836640519634</v>
      </c>
      <c r="Y58">
        <v>3244.9269424979698</v>
      </c>
      <c r="Z58">
        <v>4092.0559229716437</v>
      </c>
      <c r="AA58">
        <v>4742.9859476353004</v>
      </c>
      <c r="AB58">
        <v>5398.5740099870418</v>
      </c>
      <c r="AC58">
        <v>6000.9082556014691</v>
      </c>
      <c r="AD58">
        <v>6177.4552864715833</v>
      </c>
      <c r="AF58">
        <v>1911.2481080524458</v>
      </c>
      <c r="AG58">
        <v>2243.1829463159438</v>
      </c>
      <c r="AH58">
        <v>2533.0967780779142</v>
      </c>
      <c r="AI58">
        <v>2862.5764329111144</v>
      </c>
      <c r="AJ58">
        <v>3358.0764584937688</v>
      </c>
      <c r="AK58">
        <v>3782.6953412008256</v>
      </c>
      <c r="AL58">
        <v>4264.3410768460471</v>
      </c>
      <c r="AM58">
        <v>4666.2738325983973</v>
      </c>
      <c r="AN58">
        <v>4829.1148657313161</v>
      </c>
      <c r="AP58">
        <v>5964.4867582674069</v>
      </c>
      <c r="AQ58">
        <v>6177.4552864715833</v>
      </c>
      <c r="AR58">
        <v>6000.9082556014691</v>
      </c>
      <c r="AS58">
        <v>5398.5740099870418</v>
      </c>
      <c r="AT58">
        <v>4742.9859476353004</v>
      </c>
      <c r="AU58">
        <v>4092.0559229716437</v>
      </c>
      <c r="AV58">
        <v>3244.9269424979698</v>
      </c>
      <c r="AW58">
        <v>2456.4836640519634</v>
      </c>
      <c r="AX58">
        <v>2060.1368853967801</v>
      </c>
      <c r="AZ58">
        <v>4717.0029722636109</v>
      </c>
      <c r="BA58">
        <v>4829.1148657313161</v>
      </c>
      <c r="BB58">
        <v>4666.2738325983973</v>
      </c>
      <c r="BC58">
        <v>4264.3410768460471</v>
      </c>
      <c r="BD58">
        <v>3782.6953412008256</v>
      </c>
      <c r="BE58">
        <v>3358.0764584937688</v>
      </c>
      <c r="BF58">
        <v>2862.5764329111144</v>
      </c>
      <c r="BG58">
        <v>2533.0967780779142</v>
      </c>
      <c r="BH58">
        <v>2243.1829463159438</v>
      </c>
      <c r="BJ58">
        <v>648.79599829782205</v>
      </c>
      <c r="BK58">
        <v>764.40803358665266</v>
      </c>
      <c r="BL58">
        <v>896.38234390344269</v>
      </c>
      <c r="BM58">
        <v>1048.2487502481372</v>
      </c>
      <c r="BN58">
        <v>1445.5082835977264</v>
      </c>
      <c r="BO58">
        <v>2042.6210429101557</v>
      </c>
      <c r="BP58">
        <v>2766.1199187188322</v>
      </c>
      <c r="BQ58">
        <v>3606.5416392888728</v>
      </c>
      <c r="BR58">
        <v>4547.3934369138642</v>
      </c>
      <c r="BT58">
        <v>512.73756648540984</v>
      </c>
      <c r="BU58">
        <v>601.78395397933525</v>
      </c>
      <c r="BV58">
        <v>701.95092104936566</v>
      </c>
      <c r="BW58">
        <v>815.41980003487311</v>
      </c>
      <c r="BX58">
        <v>1140.9526300246519</v>
      </c>
      <c r="BY58">
        <v>1606.3842418060945</v>
      </c>
      <c r="BZ58">
        <v>2146.7955393165003</v>
      </c>
      <c r="CA58">
        <v>2797.1252724621399</v>
      </c>
      <c r="CB58">
        <v>3591.3635121577827</v>
      </c>
      <c r="CD58">
        <v>276.97643101796598</v>
      </c>
      <c r="CE58">
        <v>292.59747659016324</v>
      </c>
      <c r="CF58">
        <v>309.45548284491622</v>
      </c>
      <c r="CG58">
        <v>327.70160636456666</v>
      </c>
      <c r="CH58">
        <v>347.51239514815467</v>
      </c>
      <c r="CI58">
        <v>369.09529634087073</v>
      </c>
      <c r="CJ58">
        <v>392.69564782910231</v>
      </c>
      <c r="CK58">
        <v>418.6056373705016</v>
      </c>
      <c r="CL58">
        <v>456.18767479963549</v>
      </c>
      <c r="CN58">
        <v>218.03936185438948</v>
      </c>
      <c r="CO58">
        <v>230.61088351411198</v>
      </c>
      <c r="CP58">
        <v>244.12577060365282</v>
      </c>
      <c r="CQ58">
        <v>258.69382202415994</v>
      </c>
      <c r="CR58">
        <v>274.44247879278578</v>
      </c>
      <c r="CS58">
        <v>291.52049771907457</v>
      </c>
      <c r="CT58">
        <v>310.10257819864404</v>
      </c>
      <c r="CU58">
        <v>330.39524212252036</v>
      </c>
      <c r="CV58">
        <v>361.41143463380797</v>
      </c>
      <c r="CX58">
        <v>5585.6941121511281</v>
      </c>
      <c r="CY58">
        <v>4547.3934369138642</v>
      </c>
      <c r="CZ58">
        <v>3606.5416392888728</v>
      </c>
      <c r="DA58">
        <v>2766.1199187188322</v>
      </c>
      <c r="DB58">
        <v>2042.6210429101557</v>
      </c>
      <c r="DC58">
        <v>1445.5082835977264</v>
      </c>
      <c r="DD58">
        <v>1048.2487502481372</v>
      </c>
      <c r="DE58">
        <v>896.38234390344269</v>
      </c>
      <c r="DF58">
        <v>764.40803358665266</v>
      </c>
      <c r="DH58">
        <v>4421.0062920017826</v>
      </c>
      <c r="DI58">
        <v>3591.3635121577827</v>
      </c>
      <c r="DJ58">
        <v>2797.1252724621399</v>
      </c>
      <c r="DK58">
        <v>2146.7955393165003</v>
      </c>
      <c r="DL58">
        <v>1606.3842418060945</v>
      </c>
      <c r="DM58">
        <v>1140.9526300246519</v>
      </c>
      <c r="DN58">
        <v>815.41980003487311</v>
      </c>
      <c r="DO58">
        <v>701.95092104936566</v>
      </c>
      <c r="DP58">
        <v>601.78395397933525</v>
      </c>
      <c r="DR58">
        <v>1963.4904699242786</v>
      </c>
      <c r="DS58">
        <v>2060.1368853967801</v>
      </c>
      <c r="DT58">
        <v>2456.4836640519634</v>
      </c>
      <c r="DU58">
        <v>3244.9269424979698</v>
      </c>
      <c r="DV58">
        <v>4092.0559229716437</v>
      </c>
      <c r="DW58">
        <v>4742.9859476353004</v>
      </c>
      <c r="DX58">
        <v>5398.5740099870418</v>
      </c>
      <c r="DY58">
        <v>6000.9082556014691</v>
      </c>
      <c r="DZ58">
        <v>6177.4552864715833</v>
      </c>
      <c r="EB58">
        <v>1911.2481080524458</v>
      </c>
      <c r="EC58">
        <v>2243.1829463159438</v>
      </c>
      <c r="ED58">
        <v>2533.0967780779142</v>
      </c>
      <c r="EE58">
        <v>2862.5764329111144</v>
      </c>
      <c r="EF58">
        <v>3358.0764584937688</v>
      </c>
      <c r="EG58">
        <v>3782.6953412008256</v>
      </c>
      <c r="EH58">
        <v>4264.3410768460471</v>
      </c>
      <c r="EI58">
        <v>4666.2738325983973</v>
      </c>
      <c r="EJ58">
        <v>4829.1148657313161</v>
      </c>
      <c r="EL58">
        <v>5964.4867582674069</v>
      </c>
      <c r="EM58">
        <v>6177.4552864715833</v>
      </c>
      <c r="EN58">
        <v>6000.9082556014691</v>
      </c>
      <c r="EO58">
        <v>5398.5740099870418</v>
      </c>
      <c r="EP58">
        <v>4742.9859476353004</v>
      </c>
      <c r="EQ58">
        <v>4092.0559229716437</v>
      </c>
      <c r="ER58">
        <v>3244.9269424979698</v>
      </c>
      <c r="ES58">
        <v>2456.4836640519634</v>
      </c>
      <c r="ET58">
        <v>2060.1368853967801</v>
      </c>
      <c r="EV58">
        <v>4717.0029722636109</v>
      </c>
      <c r="EW58">
        <v>4829.1148657313161</v>
      </c>
      <c r="EX58">
        <v>4666.2738325983973</v>
      </c>
      <c r="EY58">
        <v>4264.3410768460471</v>
      </c>
      <c r="EZ58">
        <v>3782.6953412008256</v>
      </c>
      <c r="FA58">
        <v>3358.0764584937688</v>
      </c>
      <c r="FB58">
        <v>2862.5764329111144</v>
      </c>
      <c r="FC58">
        <v>2533.0967780779142</v>
      </c>
      <c r="FD58">
        <v>2243.1829463159438</v>
      </c>
      <c r="FF58">
        <v>648.79599829782205</v>
      </c>
      <c r="FG58">
        <v>764.40803358665266</v>
      </c>
      <c r="FH58">
        <v>896.38234390344269</v>
      </c>
      <c r="FI58">
        <v>1048.2487502481372</v>
      </c>
      <c r="FJ58">
        <v>1445.5082835977264</v>
      </c>
      <c r="FK58">
        <v>2042.6210429101557</v>
      </c>
      <c r="FL58">
        <v>2766.1199187188322</v>
      </c>
      <c r="FM58">
        <v>3606.5416392888728</v>
      </c>
      <c r="FN58">
        <v>4547.3934369138642</v>
      </c>
      <c r="FP58">
        <v>512.73756648540984</v>
      </c>
      <c r="FQ58">
        <v>601.78395397933525</v>
      </c>
      <c r="FR58">
        <v>701.95092104936566</v>
      </c>
      <c r="FS58">
        <v>815.41980003487311</v>
      </c>
      <c r="FT58">
        <v>1140.9526300246519</v>
      </c>
      <c r="FU58">
        <v>1606.3842418060945</v>
      </c>
      <c r="FV58">
        <v>2146.7955393165003</v>
      </c>
      <c r="FW58">
        <v>2797.1252724621399</v>
      </c>
      <c r="FX58">
        <v>3591.3635121577827</v>
      </c>
      <c r="FZ58">
        <v>276.97643101796598</v>
      </c>
      <c r="GA58">
        <v>292.59747659016324</v>
      </c>
      <c r="GB58">
        <v>309.45548284491622</v>
      </c>
      <c r="GC58">
        <v>327.70160636456666</v>
      </c>
      <c r="GD58">
        <v>347.51239514815467</v>
      </c>
      <c r="GE58">
        <v>369.09529634087073</v>
      </c>
      <c r="GF58">
        <v>392.69564782910231</v>
      </c>
      <c r="GG58">
        <v>418.6056373705016</v>
      </c>
      <c r="GH58">
        <v>456.18767479963549</v>
      </c>
      <c r="GJ58">
        <v>218.03936185438948</v>
      </c>
      <c r="GK58">
        <v>230.61088351411198</v>
      </c>
      <c r="GL58">
        <v>244.12577060365282</v>
      </c>
      <c r="GM58">
        <v>258.69382202415994</v>
      </c>
      <c r="GN58">
        <v>274.44247879278578</v>
      </c>
      <c r="GO58">
        <v>291.52049771907457</v>
      </c>
      <c r="GP58">
        <v>310.10257819864404</v>
      </c>
      <c r="GQ58">
        <v>330.39524212252036</v>
      </c>
      <c r="GR58">
        <v>361.41143463380797</v>
      </c>
      <c r="GS58">
        <v>433.07815146967573</v>
      </c>
    </row>
    <row r="59" spans="2:201">
      <c r="B59">
        <v>6368.4526046682904</v>
      </c>
      <c r="C59">
        <v>5203.0505659264591</v>
      </c>
      <c r="D59">
        <v>4211.2098864682876</v>
      </c>
      <c r="E59">
        <v>3264.0382737461796</v>
      </c>
      <c r="F59">
        <v>2441.3956320955795</v>
      </c>
      <c r="G59">
        <v>1747.6953590165713</v>
      </c>
      <c r="H59">
        <v>1289.2258206557099</v>
      </c>
      <c r="I59">
        <v>1081.5720100308172</v>
      </c>
      <c r="J59">
        <v>905.81937401914706</v>
      </c>
      <c r="L59">
        <v>3547.0210116173735</v>
      </c>
      <c r="M59">
        <v>2882.8526035378682</v>
      </c>
      <c r="N59">
        <v>2231.9088980683191</v>
      </c>
      <c r="O59">
        <v>1718.9465823316195</v>
      </c>
      <c r="P59">
        <v>1300.1522975386508</v>
      </c>
      <c r="Q59">
        <v>929.94992317255719</v>
      </c>
      <c r="R59">
        <v>666.50249976318651</v>
      </c>
      <c r="S59">
        <v>578.74182945785435</v>
      </c>
      <c r="T59">
        <v>499.7923589147785</v>
      </c>
      <c r="V59">
        <v>2204.1271451918433</v>
      </c>
      <c r="W59">
        <v>2103.6284737987844</v>
      </c>
      <c r="X59">
        <v>2346.8324499562332</v>
      </c>
      <c r="Y59">
        <v>3096.4899132276032</v>
      </c>
      <c r="Z59">
        <v>4238.8003046604417</v>
      </c>
      <c r="AA59">
        <v>5217.3519506644352</v>
      </c>
      <c r="AB59">
        <v>6098.2119467167468</v>
      </c>
      <c r="AC59">
        <v>6734.5371138426999</v>
      </c>
      <c r="AD59">
        <v>6858.5974390746833</v>
      </c>
      <c r="AF59">
        <v>1881.9465385787412</v>
      </c>
      <c r="AG59">
        <v>2018.3148718939296</v>
      </c>
      <c r="AH59">
        <v>2205.6575114413872</v>
      </c>
      <c r="AI59">
        <v>2542.3889243953549</v>
      </c>
      <c r="AJ59">
        <v>2896.3950513435634</v>
      </c>
      <c r="AK59">
        <v>3174.6087009602088</v>
      </c>
      <c r="AL59">
        <v>3530.3588860191476</v>
      </c>
      <c r="AM59">
        <v>3824.5816160508666</v>
      </c>
      <c r="AN59">
        <v>3926.9038807128104</v>
      </c>
      <c r="AP59">
        <v>6662.6540702573129</v>
      </c>
      <c r="AQ59">
        <v>6858.5974390746833</v>
      </c>
      <c r="AR59">
        <v>6734.5371138426999</v>
      </c>
      <c r="AS59">
        <v>6098.2119467167468</v>
      </c>
      <c r="AT59">
        <v>5217.3519506644352</v>
      </c>
      <c r="AU59">
        <v>4238.8003046604417</v>
      </c>
      <c r="AV59">
        <v>3096.4899132276032</v>
      </c>
      <c r="AW59">
        <v>2346.8324499562332</v>
      </c>
      <c r="AX59">
        <v>2103.6284737987844</v>
      </c>
      <c r="AZ59">
        <v>3811.7986826541978</v>
      </c>
      <c r="BA59">
        <v>3926.9038807128104</v>
      </c>
      <c r="BB59">
        <v>3824.5816160508666</v>
      </c>
      <c r="BC59">
        <v>3530.3588860191476</v>
      </c>
      <c r="BD59">
        <v>3174.6087009602088</v>
      </c>
      <c r="BE59">
        <v>2896.3950513435634</v>
      </c>
      <c r="BF59">
        <v>2542.3889243953549</v>
      </c>
      <c r="BG59">
        <v>2205.6575114413872</v>
      </c>
      <c r="BH59">
        <v>2018.3148718939296</v>
      </c>
      <c r="BJ59">
        <v>755.77681292105854</v>
      </c>
      <c r="BK59">
        <v>905.81937401914706</v>
      </c>
      <c r="BL59">
        <v>1081.5720100308172</v>
      </c>
      <c r="BM59">
        <v>1289.2258206557099</v>
      </c>
      <c r="BN59">
        <v>1747.6953590165713</v>
      </c>
      <c r="BO59">
        <v>2441.3956320955795</v>
      </c>
      <c r="BP59">
        <v>3264.0382737461796</v>
      </c>
      <c r="BQ59">
        <v>4211.2098864682876</v>
      </c>
      <c r="BR59">
        <v>5203.0505659264591</v>
      </c>
      <c r="BT59">
        <v>428.40520826075544</v>
      </c>
      <c r="BU59">
        <v>499.7923589147785</v>
      </c>
      <c r="BV59">
        <v>578.74182945785435</v>
      </c>
      <c r="BW59">
        <v>666.50249976318651</v>
      </c>
      <c r="BX59">
        <v>929.94992317255719</v>
      </c>
      <c r="BY59">
        <v>1300.1522975386508</v>
      </c>
      <c r="BZ59">
        <v>1718.9465823316195</v>
      </c>
      <c r="CA59">
        <v>2231.9088980683191</v>
      </c>
      <c r="CB59">
        <v>2882.8526035378682</v>
      </c>
      <c r="CD59">
        <v>315.9905007642883</v>
      </c>
      <c r="CE59">
        <v>333.61112126371034</v>
      </c>
      <c r="CF59">
        <v>352.6589077788795</v>
      </c>
      <c r="CG59">
        <v>373.31141337517221</v>
      </c>
      <c r="CH59">
        <v>395.77643895833069</v>
      </c>
      <c r="CI59">
        <v>420.29866513835441</v>
      </c>
      <c r="CJ59">
        <v>447.1680846221376</v>
      </c>
      <c r="CK59">
        <v>476.7308248654524</v>
      </c>
      <c r="CL59">
        <v>516.98416151655033</v>
      </c>
      <c r="CN59">
        <v>184.69545846303393</v>
      </c>
      <c r="CO59">
        <v>195.38179274230603</v>
      </c>
      <c r="CP59">
        <v>206.82114646904824</v>
      </c>
      <c r="CQ59">
        <v>219.09562026002041</v>
      </c>
      <c r="CR59">
        <v>232.2996313632101</v>
      </c>
      <c r="CS59">
        <v>246.54229790243522</v>
      </c>
      <c r="CT59">
        <v>261.95039491492923</v>
      </c>
      <c r="CU59">
        <v>278.67204730957508</v>
      </c>
      <c r="CV59">
        <v>304.38873678279333</v>
      </c>
      <c r="CX59">
        <v>6368.4526046682904</v>
      </c>
      <c r="CY59">
        <v>5203.0505659264591</v>
      </c>
      <c r="CZ59">
        <v>4211.2098864682876</v>
      </c>
      <c r="DA59">
        <v>3264.0382737461796</v>
      </c>
      <c r="DB59">
        <v>2441.3956320955795</v>
      </c>
      <c r="DC59">
        <v>1747.6953590165713</v>
      </c>
      <c r="DD59">
        <v>1289.2258206557099</v>
      </c>
      <c r="DE59">
        <v>1081.5720100308172</v>
      </c>
      <c r="DF59">
        <v>905.81937401914706</v>
      </c>
      <c r="DH59">
        <v>3547.0210116173735</v>
      </c>
      <c r="DI59">
        <v>2882.8526035378682</v>
      </c>
      <c r="DJ59">
        <v>2231.9088980683191</v>
      </c>
      <c r="DK59">
        <v>1718.9465823316195</v>
      </c>
      <c r="DL59">
        <v>1300.1522975386508</v>
      </c>
      <c r="DM59">
        <v>929.94992317255719</v>
      </c>
      <c r="DN59">
        <v>666.50249976318651</v>
      </c>
      <c r="DO59">
        <v>578.74182945785435</v>
      </c>
      <c r="DP59">
        <v>499.7923589147785</v>
      </c>
      <c r="DR59">
        <v>2204.1271451918433</v>
      </c>
      <c r="DS59">
        <v>2103.6284737987844</v>
      </c>
      <c r="DT59">
        <v>2346.8324499562332</v>
      </c>
      <c r="DU59">
        <v>3096.4899132276032</v>
      </c>
      <c r="DV59">
        <v>4238.8003046604417</v>
      </c>
      <c r="DW59">
        <v>5217.3519506644352</v>
      </c>
      <c r="DX59">
        <v>6098.2119467167468</v>
      </c>
      <c r="DY59">
        <v>6734.5371138426999</v>
      </c>
      <c r="DZ59">
        <v>6858.5974390746833</v>
      </c>
      <c r="EB59">
        <v>1881.9465385787412</v>
      </c>
      <c r="EC59">
        <v>2018.3148718939296</v>
      </c>
      <c r="ED59">
        <v>2205.6575114413872</v>
      </c>
      <c r="EE59">
        <v>2542.3889243953549</v>
      </c>
      <c r="EF59">
        <v>2896.3950513435634</v>
      </c>
      <c r="EG59">
        <v>3174.6087009602088</v>
      </c>
      <c r="EH59">
        <v>3530.3588860191476</v>
      </c>
      <c r="EI59">
        <v>3824.5816160508666</v>
      </c>
      <c r="EJ59">
        <v>3926.9038807128104</v>
      </c>
      <c r="EL59">
        <v>6662.6540702573129</v>
      </c>
      <c r="EM59">
        <v>6858.5974390746833</v>
      </c>
      <c r="EN59">
        <v>6734.5371138426999</v>
      </c>
      <c r="EO59">
        <v>6098.2119467167468</v>
      </c>
      <c r="EP59">
        <v>5217.3519506644352</v>
      </c>
      <c r="EQ59">
        <v>4238.8003046604417</v>
      </c>
      <c r="ER59">
        <v>3096.4899132276032</v>
      </c>
      <c r="ES59">
        <v>2346.8324499562332</v>
      </c>
      <c r="ET59">
        <v>2103.6284737987844</v>
      </c>
      <c r="EV59">
        <v>3811.7986826541978</v>
      </c>
      <c r="EW59">
        <v>3926.9038807128104</v>
      </c>
      <c r="EX59">
        <v>3824.5816160508666</v>
      </c>
      <c r="EY59">
        <v>3530.3588860191476</v>
      </c>
      <c r="EZ59">
        <v>3174.6087009602088</v>
      </c>
      <c r="FA59">
        <v>2896.3950513435634</v>
      </c>
      <c r="FB59">
        <v>2542.3889243953549</v>
      </c>
      <c r="FC59">
        <v>2205.6575114413872</v>
      </c>
      <c r="FD59">
        <v>2018.3148718939296</v>
      </c>
      <c r="FF59">
        <v>755.77681292105854</v>
      </c>
      <c r="FG59">
        <v>905.81937401914706</v>
      </c>
      <c r="FH59">
        <v>1081.5720100308172</v>
      </c>
      <c r="FI59">
        <v>1289.2258206557099</v>
      </c>
      <c r="FJ59">
        <v>1747.6953590165713</v>
      </c>
      <c r="FK59">
        <v>2441.3956320955795</v>
      </c>
      <c r="FL59">
        <v>3264.0382737461796</v>
      </c>
      <c r="FM59">
        <v>4211.2098864682876</v>
      </c>
      <c r="FN59">
        <v>5203.0505659264591</v>
      </c>
      <c r="FP59">
        <v>428.40520826075544</v>
      </c>
      <c r="FQ59">
        <v>499.7923589147785</v>
      </c>
      <c r="FR59">
        <v>578.74182945785435</v>
      </c>
      <c r="FS59">
        <v>666.50249976318651</v>
      </c>
      <c r="FT59">
        <v>929.94992317255719</v>
      </c>
      <c r="FU59">
        <v>1300.1522975386508</v>
      </c>
      <c r="FV59">
        <v>1718.9465823316195</v>
      </c>
      <c r="FW59">
        <v>2231.9088980683191</v>
      </c>
      <c r="FX59">
        <v>2882.8526035378682</v>
      </c>
      <c r="FZ59">
        <v>315.9905007642883</v>
      </c>
      <c r="GA59">
        <v>333.61112126371034</v>
      </c>
      <c r="GB59">
        <v>352.6589077788795</v>
      </c>
      <c r="GC59">
        <v>373.31141337517221</v>
      </c>
      <c r="GD59">
        <v>395.77643895833069</v>
      </c>
      <c r="GE59">
        <v>420.29866513835441</v>
      </c>
      <c r="GF59">
        <v>447.1680846221376</v>
      </c>
      <c r="GG59">
        <v>476.7308248654524</v>
      </c>
      <c r="GH59">
        <v>516.98416151655033</v>
      </c>
      <c r="GJ59">
        <v>184.69545846303393</v>
      </c>
      <c r="GK59">
        <v>195.38179274230603</v>
      </c>
      <c r="GL59">
        <v>206.82114646904824</v>
      </c>
      <c r="GM59">
        <v>219.09562026002041</v>
      </c>
      <c r="GN59">
        <v>232.2996313632101</v>
      </c>
      <c r="GO59">
        <v>246.54229790243522</v>
      </c>
      <c r="GP59">
        <v>261.95039491492923</v>
      </c>
      <c r="GQ59">
        <v>278.67204730957508</v>
      </c>
      <c r="GR59">
        <v>304.38873678279333</v>
      </c>
      <c r="GS59">
        <v>363.55415517870034</v>
      </c>
    </row>
    <row r="60" spans="2:201">
      <c r="B60">
        <v>6501.0926397346075</v>
      </c>
      <c r="C60">
        <v>5528.3572738786943</v>
      </c>
      <c r="D60">
        <v>4657.572078096131</v>
      </c>
      <c r="E60">
        <v>3706.7645514873311</v>
      </c>
      <c r="F60">
        <v>2812.0600453919424</v>
      </c>
      <c r="G60">
        <v>2044.8565485501163</v>
      </c>
      <c r="H60">
        <v>1555.8818459981294</v>
      </c>
      <c r="I60">
        <v>1305.0637729044311</v>
      </c>
      <c r="J60">
        <v>1093.288755297993</v>
      </c>
      <c r="L60">
        <v>2335.5365278244903</v>
      </c>
      <c r="M60">
        <v>1967.6751275510255</v>
      </c>
      <c r="N60">
        <v>1577.2251620950765</v>
      </c>
      <c r="O60">
        <v>1260.1656968113034</v>
      </c>
      <c r="P60">
        <v>989.19807681764837</v>
      </c>
      <c r="Q60">
        <v>734.24864863699122</v>
      </c>
      <c r="R60">
        <v>547.4570474658675</v>
      </c>
      <c r="S60">
        <v>483.65366245758139</v>
      </c>
      <c r="T60">
        <v>424.36138612173147</v>
      </c>
      <c r="V60">
        <v>2291.8818437015552</v>
      </c>
      <c r="W60">
        <v>2187.9495299233076</v>
      </c>
      <c r="X60">
        <v>2251.9214565402276</v>
      </c>
      <c r="Y60">
        <v>2737.6252741154149</v>
      </c>
      <c r="Z60">
        <v>3926.1924073545324</v>
      </c>
      <c r="AA60">
        <v>5171.6481698032258</v>
      </c>
      <c r="AB60">
        <v>6219.0624385538449</v>
      </c>
      <c r="AC60">
        <v>6921.9850501207002</v>
      </c>
      <c r="AD60">
        <v>7175.9454965060795</v>
      </c>
      <c r="AF60">
        <v>1585.8357530040885</v>
      </c>
      <c r="AG60">
        <v>1456.7156507175764</v>
      </c>
      <c r="AH60">
        <v>1529.1532918416503</v>
      </c>
      <c r="AI60">
        <v>1930.7544625969931</v>
      </c>
      <c r="AJ60">
        <v>2170.3765824088532</v>
      </c>
      <c r="AK60">
        <v>2294.8082070580185</v>
      </c>
      <c r="AL60">
        <v>2463.6052522232003</v>
      </c>
      <c r="AM60">
        <v>2588.9787090282307</v>
      </c>
      <c r="AN60">
        <v>2570.8485912989845</v>
      </c>
      <c r="AP60">
        <v>6952.3591903553415</v>
      </c>
      <c r="AQ60">
        <v>7175.9454965060795</v>
      </c>
      <c r="AR60">
        <v>6921.9850501207002</v>
      </c>
      <c r="AS60">
        <v>6219.0624385538449</v>
      </c>
      <c r="AT60">
        <v>5171.6481698032258</v>
      </c>
      <c r="AU60">
        <v>3926.1924073545324</v>
      </c>
      <c r="AV60">
        <v>2737.6252741154149</v>
      </c>
      <c r="AW60">
        <v>2251.9214565402276</v>
      </c>
      <c r="AX60">
        <v>2187.9495299233076</v>
      </c>
      <c r="AZ60">
        <v>2481.4660294399719</v>
      </c>
      <c r="BA60">
        <v>2570.8485912989845</v>
      </c>
      <c r="BB60">
        <v>2588.9787090282307</v>
      </c>
      <c r="BC60">
        <v>2463.6052522232003</v>
      </c>
      <c r="BD60">
        <v>2294.8082070580185</v>
      </c>
      <c r="BE60">
        <v>2170.3765824088532</v>
      </c>
      <c r="BF60">
        <v>1930.7544625969931</v>
      </c>
      <c r="BG60">
        <v>1529.1532918416503</v>
      </c>
      <c r="BH60">
        <v>1456.7156507175764</v>
      </c>
      <c r="BJ60">
        <v>912.97044376518556</v>
      </c>
      <c r="BK60">
        <v>1093.288755297993</v>
      </c>
      <c r="BL60">
        <v>1305.0637729044311</v>
      </c>
      <c r="BM60">
        <v>1555.8818459981294</v>
      </c>
      <c r="BN60">
        <v>2044.8565485501163</v>
      </c>
      <c r="BO60">
        <v>2812.0600453919424</v>
      </c>
      <c r="BP60">
        <v>3706.7645514873311</v>
      </c>
      <c r="BQ60">
        <v>4657.572078096131</v>
      </c>
      <c r="BR60">
        <v>5528.3572738786943</v>
      </c>
      <c r="BT60">
        <v>369.23438010424036</v>
      </c>
      <c r="BU60">
        <v>424.36138612173147</v>
      </c>
      <c r="BV60">
        <v>483.65366245758139</v>
      </c>
      <c r="BW60">
        <v>547.4570474658675</v>
      </c>
      <c r="BX60">
        <v>734.24864863699122</v>
      </c>
      <c r="BY60">
        <v>989.19807681764837</v>
      </c>
      <c r="BZ60">
        <v>1260.1656968113034</v>
      </c>
      <c r="CA60">
        <v>1577.2251620950765</v>
      </c>
      <c r="CB60">
        <v>1967.6751275510255</v>
      </c>
      <c r="CD60">
        <v>354.72621642328045</v>
      </c>
      <c r="CE60">
        <v>374.31216931940492</v>
      </c>
      <c r="CF60">
        <v>396.51951665659112</v>
      </c>
      <c r="CG60">
        <v>424.01675066816193</v>
      </c>
      <c r="CH60">
        <v>454.62860088850977</v>
      </c>
      <c r="CI60">
        <v>488.85232689435873</v>
      </c>
      <c r="CJ60">
        <v>527.28898694118595</v>
      </c>
      <c r="CK60">
        <v>570.67055294687873</v>
      </c>
      <c r="CL60">
        <v>624.60710604289284</v>
      </c>
      <c r="CN60">
        <v>169.69972005921173</v>
      </c>
      <c r="CO60">
        <v>179.00419066649292</v>
      </c>
      <c r="CP60">
        <v>188.8972225711214</v>
      </c>
      <c r="CQ60">
        <v>199.43488435678643</v>
      </c>
      <c r="CR60">
        <v>210.68029195851673</v>
      </c>
      <c r="CS60">
        <v>222.70467200513011</v>
      </c>
      <c r="CT60">
        <v>235.58859646497416</v>
      </c>
      <c r="CU60">
        <v>249.42340941671472</v>
      </c>
      <c r="CV60">
        <v>270.122945632273</v>
      </c>
      <c r="CX60">
        <v>6501.0926397346075</v>
      </c>
      <c r="CY60">
        <v>5528.3572738786943</v>
      </c>
      <c r="CZ60">
        <v>4657.572078096131</v>
      </c>
      <c r="DA60">
        <v>3706.7645514873311</v>
      </c>
      <c r="DB60">
        <v>2812.0600453919424</v>
      </c>
      <c r="DC60">
        <v>2044.8565485501163</v>
      </c>
      <c r="DD60">
        <v>1555.8818459981294</v>
      </c>
      <c r="DE60">
        <v>1305.0637729044311</v>
      </c>
      <c r="DF60">
        <v>1093.288755297993</v>
      </c>
      <c r="DH60">
        <v>2335.5365278244903</v>
      </c>
      <c r="DI60">
        <v>1967.6751275510255</v>
      </c>
      <c r="DJ60">
        <v>1577.2251620950765</v>
      </c>
      <c r="DK60">
        <v>1260.1656968113034</v>
      </c>
      <c r="DL60">
        <v>989.19807681764837</v>
      </c>
      <c r="DM60">
        <v>734.24864863699122</v>
      </c>
      <c r="DN60">
        <v>547.4570474658675</v>
      </c>
      <c r="DO60">
        <v>483.65366245758139</v>
      </c>
      <c r="DP60">
        <v>424.36138612173147</v>
      </c>
      <c r="DR60">
        <v>2291.8818437015552</v>
      </c>
      <c r="DS60">
        <v>2187.9495299233076</v>
      </c>
      <c r="DT60">
        <v>2251.9214565402276</v>
      </c>
      <c r="DU60">
        <v>2737.6252741154149</v>
      </c>
      <c r="DV60">
        <v>3926.1924073545324</v>
      </c>
      <c r="DW60">
        <v>5171.6481698032258</v>
      </c>
      <c r="DX60">
        <v>6219.0624385538449</v>
      </c>
      <c r="DY60">
        <v>6921.9850501207002</v>
      </c>
      <c r="DZ60">
        <v>7175.9454965060795</v>
      </c>
      <c r="EB60">
        <v>1585.8357530040885</v>
      </c>
      <c r="EC60">
        <v>1456.7156507175764</v>
      </c>
      <c r="ED60">
        <v>1529.1532918416503</v>
      </c>
      <c r="EE60">
        <v>1930.7544625969931</v>
      </c>
      <c r="EF60">
        <v>2170.3765824088532</v>
      </c>
      <c r="EG60">
        <v>2294.8082070580185</v>
      </c>
      <c r="EH60">
        <v>2463.6052522232003</v>
      </c>
      <c r="EI60">
        <v>2588.9787090282307</v>
      </c>
      <c r="EJ60">
        <v>2570.8485912989845</v>
      </c>
      <c r="EL60">
        <v>6952.3591903553415</v>
      </c>
      <c r="EM60">
        <v>7175.9454965060795</v>
      </c>
      <c r="EN60">
        <v>6921.9850501207002</v>
      </c>
      <c r="EO60">
        <v>6219.0624385538449</v>
      </c>
      <c r="EP60">
        <v>5171.6481698032258</v>
      </c>
      <c r="EQ60">
        <v>3926.1924073545324</v>
      </c>
      <c r="ER60">
        <v>2737.6252741154149</v>
      </c>
      <c r="ES60">
        <v>2251.9214565402276</v>
      </c>
      <c r="ET60">
        <v>2187.9495299233076</v>
      </c>
      <c r="EV60">
        <v>2481.4660294399719</v>
      </c>
      <c r="EW60">
        <v>2570.8485912989845</v>
      </c>
      <c r="EX60">
        <v>2588.9787090282307</v>
      </c>
      <c r="EY60">
        <v>2463.6052522232003</v>
      </c>
      <c r="EZ60">
        <v>2294.8082070580185</v>
      </c>
      <c r="FA60">
        <v>2170.3765824088532</v>
      </c>
      <c r="FB60">
        <v>1930.7544625969931</v>
      </c>
      <c r="FC60">
        <v>1529.1532918416503</v>
      </c>
      <c r="FD60">
        <v>1456.7156507175764</v>
      </c>
      <c r="FF60">
        <v>912.97044376518556</v>
      </c>
      <c r="FG60">
        <v>1093.288755297993</v>
      </c>
      <c r="FH60">
        <v>1305.0637729044311</v>
      </c>
      <c r="FI60">
        <v>1555.8818459981294</v>
      </c>
      <c r="FJ60">
        <v>2044.8565485501163</v>
      </c>
      <c r="FK60">
        <v>2812.0600453919424</v>
      </c>
      <c r="FL60">
        <v>3706.7645514873311</v>
      </c>
      <c r="FM60">
        <v>4657.572078096131</v>
      </c>
      <c r="FN60">
        <v>5528.3572738786943</v>
      </c>
      <c r="FP60">
        <v>369.23438010424036</v>
      </c>
      <c r="FQ60">
        <v>424.36138612173147</v>
      </c>
      <c r="FR60">
        <v>483.65366245758139</v>
      </c>
      <c r="FS60">
        <v>547.4570474658675</v>
      </c>
      <c r="FT60">
        <v>734.24864863699122</v>
      </c>
      <c r="FU60">
        <v>989.19807681764837</v>
      </c>
      <c r="FV60">
        <v>1260.1656968113034</v>
      </c>
      <c r="FW60">
        <v>1577.2251620950765</v>
      </c>
      <c r="FX60">
        <v>1967.6751275510255</v>
      </c>
      <c r="FZ60">
        <v>354.72621642328045</v>
      </c>
      <c r="GA60">
        <v>374.31216931940492</v>
      </c>
      <c r="GB60">
        <v>396.51951665659112</v>
      </c>
      <c r="GC60">
        <v>424.01675066816193</v>
      </c>
      <c r="GD60">
        <v>454.62860088850977</v>
      </c>
      <c r="GE60">
        <v>488.85232689435873</v>
      </c>
      <c r="GF60">
        <v>527.28898694118595</v>
      </c>
      <c r="GG60">
        <v>570.67055294687873</v>
      </c>
      <c r="GH60">
        <v>624.60710604289284</v>
      </c>
      <c r="GJ60">
        <v>169.69972005921173</v>
      </c>
      <c r="GK60">
        <v>179.00419066649292</v>
      </c>
      <c r="GL60">
        <v>188.8972225711214</v>
      </c>
      <c r="GM60">
        <v>199.43488435678643</v>
      </c>
      <c r="GN60">
        <v>210.68029195851673</v>
      </c>
      <c r="GO60">
        <v>222.70467200513011</v>
      </c>
      <c r="GP60">
        <v>235.58859646497416</v>
      </c>
      <c r="GQ60">
        <v>249.42340941671472</v>
      </c>
      <c r="GR60">
        <v>270.122945632273</v>
      </c>
      <c r="GS60">
        <v>317.93018611387367</v>
      </c>
    </row>
    <row r="61" spans="2:201">
      <c r="B61">
        <v>6488.4636477848799</v>
      </c>
      <c r="C61">
        <v>5712.3605032696123</v>
      </c>
      <c r="D61">
        <v>4886.0002088408119</v>
      </c>
      <c r="E61">
        <v>3917.1695308379212</v>
      </c>
      <c r="F61">
        <v>3055.9295817678749</v>
      </c>
      <c r="G61">
        <v>2292.0702015968527</v>
      </c>
      <c r="H61">
        <v>1806.810159747778</v>
      </c>
      <c r="I61">
        <v>1518.9547624961112</v>
      </c>
      <c r="J61">
        <v>1273.0719594529633</v>
      </c>
      <c r="L61">
        <v>1411.2184408863686</v>
      </c>
      <c r="M61">
        <v>1237.2644108373545</v>
      </c>
      <c r="N61">
        <v>1022.9607903697545</v>
      </c>
      <c r="O61">
        <v>843.09330456759301</v>
      </c>
      <c r="P61">
        <v>683.48785611446101</v>
      </c>
      <c r="Q61">
        <v>538.35599521684276</v>
      </c>
      <c r="R61">
        <v>428.22875763440885</v>
      </c>
      <c r="S61">
        <v>388.29726039287891</v>
      </c>
      <c r="T61">
        <v>348.61610291454031</v>
      </c>
      <c r="V61">
        <v>2174.8622517436324</v>
      </c>
      <c r="W61">
        <v>2160.8054391453657</v>
      </c>
      <c r="X61">
        <v>2249.6915824779053</v>
      </c>
      <c r="Y61">
        <v>2493.2396444490064</v>
      </c>
      <c r="Z61">
        <v>3289.6366458363786</v>
      </c>
      <c r="AA61">
        <v>4648.9788837970991</v>
      </c>
      <c r="AB61">
        <v>5904.7783987808416</v>
      </c>
      <c r="AC61">
        <v>6624.747746666003</v>
      </c>
      <c r="AD61">
        <v>7039.7376142331941</v>
      </c>
      <c r="AF61">
        <v>552.95969686824469</v>
      </c>
      <c r="AG61">
        <v>517.32075460945862</v>
      </c>
      <c r="AH61">
        <v>646.27796564107723</v>
      </c>
      <c r="AI61">
        <v>1058.2754027793346</v>
      </c>
      <c r="AJ61">
        <v>1184.2816305595638</v>
      </c>
      <c r="AK61">
        <v>1180.4961772111965</v>
      </c>
      <c r="AL61">
        <v>1296.6998362856227</v>
      </c>
      <c r="AM61">
        <v>1342.4677221438815</v>
      </c>
      <c r="AN61">
        <v>1443.5870597450501</v>
      </c>
      <c r="AP61">
        <v>6828.9952196289469</v>
      </c>
      <c r="AQ61">
        <v>7039.7376142331941</v>
      </c>
      <c r="AR61">
        <v>6624.747746666003</v>
      </c>
      <c r="AS61">
        <v>5904.7783987808416</v>
      </c>
      <c r="AT61">
        <v>4648.9788837970991</v>
      </c>
      <c r="AU61">
        <v>3289.6366458363786</v>
      </c>
      <c r="AV61">
        <v>2493.2396444490064</v>
      </c>
      <c r="AW61">
        <v>2249.6915824779053</v>
      </c>
      <c r="AX61">
        <v>2160.8054391453657</v>
      </c>
      <c r="AZ61">
        <v>1462.0970900555205</v>
      </c>
      <c r="BA61">
        <v>1443.5870597450501</v>
      </c>
      <c r="BB61">
        <v>1342.4677221438815</v>
      </c>
      <c r="BC61">
        <v>1296.6998362856227</v>
      </c>
      <c r="BD61">
        <v>1180.4961772111965</v>
      </c>
      <c r="BE61">
        <v>1184.2816305595638</v>
      </c>
      <c r="BF61">
        <v>1058.2754027793346</v>
      </c>
      <c r="BG61">
        <v>646.27796564107723</v>
      </c>
      <c r="BH61">
        <v>517.32075460945862</v>
      </c>
      <c r="BJ61">
        <v>1063.9463246645482</v>
      </c>
      <c r="BK61">
        <v>1273.0719594529633</v>
      </c>
      <c r="BL61">
        <v>1518.9547624961112</v>
      </c>
      <c r="BM61">
        <v>1806.810159747778</v>
      </c>
      <c r="BN61">
        <v>2292.0702015968527</v>
      </c>
      <c r="BO61">
        <v>3055.9295817678749</v>
      </c>
      <c r="BP61">
        <v>3917.1695308379212</v>
      </c>
      <c r="BQ61">
        <v>4886.0002088408119</v>
      </c>
      <c r="BR61">
        <v>5712.3605032696123</v>
      </c>
      <c r="BT61">
        <v>309.72799886601229</v>
      </c>
      <c r="BU61">
        <v>348.61610291454031</v>
      </c>
      <c r="BV61">
        <v>388.29726039287891</v>
      </c>
      <c r="BW61">
        <v>428.22875763440885</v>
      </c>
      <c r="BX61">
        <v>538.35599521684276</v>
      </c>
      <c r="BY61">
        <v>683.48785611446101</v>
      </c>
      <c r="BZ61">
        <v>843.09330456759301</v>
      </c>
      <c r="CA61">
        <v>1022.9607903697545</v>
      </c>
      <c r="CB61">
        <v>1237.2644108373545</v>
      </c>
      <c r="CD61">
        <v>408.03597268695341</v>
      </c>
      <c r="CE61">
        <v>434.75355887408102</v>
      </c>
      <c r="CF61">
        <v>464.28759567068732</v>
      </c>
      <c r="CG61">
        <v>497.05357754140601</v>
      </c>
      <c r="CH61">
        <v>533.54670099266252</v>
      </c>
      <c r="CI61">
        <v>574.36089932178652</v>
      </c>
      <c r="CJ61">
        <v>620.21337558686673</v>
      </c>
      <c r="CK61">
        <v>671.97651517282475</v>
      </c>
      <c r="CL61">
        <v>730.71981006290696</v>
      </c>
      <c r="CN61">
        <v>154.63318012686213</v>
      </c>
      <c r="CO61">
        <v>162.55028165291287</v>
      </c>
      <c r="CP61">
        <v>170.89100163908711</v>
      </c>
      <c r="CQ61">
        <v>179.68535160949125</v>
      </c>
      <c r="CR61">
        <v>188.9651326441101</v>
      </c>
      <c r="CS61">
        <v>198.76368660745968</v>
      </c>
      <c r="CT61">
        <v>209.11542325861637</v>
      </c>
      <c r="CU61">
        <v>220.05500270323441</v>
      </c>
      <c r="CV61">
        <v>235.52014656905962</v>
      </c>
      <c r="CX61">
        <v>6488.4636477848799</v>
      </c>
      <c r="CY61">
        <v>5712.3605032696123</v>
      </c>
      <c r="CZ61">
        <v>4886.0002088408119</v>
      </c>
      <c r="DA61">
        <v>3917.1695308379212</v>
      </c>
      <c r="DB61">
        <v>3055.9295817678749</v>
      </c>
      <c r="DC61">
        <v>2292.0702015968527</v>
      </c>
      <c r="DD61">
        <v>1806.810159747778</v>
      </c>
      <c r="DE61">
        <v>1518.9547624961112</v>
      </c>
      <c r="DF61">
        <v>1273.0719594529633</v>
      </c>
      <c r="DH61">
        <v>1411.2184408863686</v>
      </c>
      <c r="DI61">
        <v>1237.2644108373545</v>
      </c>
      <c r="DJ61">
        <v>1022.9607903697545</v>
      </c>
      <c r="DK61">
        <v>843.09330456759301</v>
      </c>
      <c r="DL61">
        <v>683.48785611446101</v>
      </c>
      <c r="DM61">
        <v>538.35599521684276</v>
      </c>
      <c r="DN61">
        <v>428.22875763440885</v>
      </c>
      <c r="DO61">
        <v>388.29726039287891</v>
      </c>
      <c r="DP61">
        <v>348.61610291454031</v>
      </c>
      <c r="DR61">
        <v>2174.8622517436324</v>
      </c>
      <c r="DS61">
        <v>2160.8054391453657</v>
      </c>
      <c r="DT61">
        <v>2249.6915824779053</v>
      </c>
      <c r="DU61">
        <v>2493.2396444490064</v>
      </c>
      <c r="DV61">
        <v>3289.6366458363786</v>
      </c>
      <c r="DW61">
        <v>4648.9788837970991</v>
      </c>
      <c r="DX61">
        <v>5904.7783987808416</v>
      </c>
      <c r="DY61">
        <v>6624.747746666003</v>
      </c>
      <c r="DZ61">
        <v>7039.7376142331941</v>
      </c>
      <c r="EB61">
        <v>552.95969686824469</v>
      </c>
      <c r="EC61">
        <v>517.32075460945862</v>
      </c>
      <c r="ED61">
        <v>646.27796564107723</v>
      </c>
      <c r="EE61">
        <v>1058.2754027793346</v>
      </c>
      <c r="EF61">
        <v>1184.2816305595638</v>
      </c>
      <c r="EG61">
        <v>1180.4961772111965</v>
      </c>
      <c r="EH61">
        <v>1296.6998362856227</v>
      </c>
      <c r="EI61">
        <v>1342.4677221438815</v>
      </c>
      <c r="EJ61">
        <v>1443.5870597450501</v>
      </c>
      <c r="EL61">
        <v>6828.9952196289469</v>
      </c>
      <c r="EM61">
        <v>7039.7376142331941</v>
      </c>
      <c r="EN61">
        <v>6624.747746666003</v>
      </c>
      <c r="EO61">
        <v>5904.7783987808416</v>
      </c>
      <c r="EP61">
        <v>4648.9788837970991</v>
      </c>
      <c r="EQ61">
        <v>3289.6366458363786</v>
      </c>
      <c r="ER61">
        <v>2493.2396444490064</v>
      </c>
      <c r="ES61">
        <v>2249.6915824779053</v>
      </c>
      <c r="ET61">
        <v>2160.8054391453657</v>
      </c>
      <c r="EV61">
        <v>1462.0970900555205</v>
      </c>
      <c r="EW61">
        <v>1443.5870597450501</v>
      </c>
      <c r="EX61">
        <v>1342.4677221438815</v>
      </c>
      <c r="EY61">
        <v>1296.6998362856227</v>
      </c>
      <c r="EZ61">
        <v>1180.4961772111965</v>
      </c>
      <c r="FA61">
        <v>1184.2816305595638</v>
      </c>
      <c r="FB61">
        <v>1058.2754027793346</v>
      </c>
      <c r="FC61">
        <v>646.27796564107723</v>
      </c>
      <c r="FD61">
        <v>517.32075460945862</v>
      </c>
      <c r="FF61">
        <v>1063.9463246645482</v>
      </c>
      <c r="FG61">
        <v>1273.0719594529633</v>
      </c>
      <c r="FH61">
        <v>1518.9547624961112</v>
      </c>
      <c r="FI61">
        <v>1806.810159747778</v>
      </c>
      <c r="FJ61">
        <v>2292.0702015968527</v>
      </c>
      <c r="FK61">
        <v>3055.9295817678749</v>
      </c>
      <c r="FL61">
        <v>3917.1695308379212</v>
      </c>
      <c r="FM61">
        <v>4886.0002088408119</v>
      </c>
      <c r="FN61">
        <v>5712.3605032696123</v>
      </c>
      <c r="FP61">
        <v>309.72799886601229</v>
      </c>
      <c r="FQ61">
        <v>348.61610291454031</v>
      </c>
      <c r="FR61">
        <v>388.29726039287891</v>
      </c>
      <c r="FS61">
        <v>428.22875763440885</v>
      </c>
      <c r="FT61">
        <v>538.35599521684276</v>
      </c>
      <c r="FU61">
        <v>683.48785611446101</v>
      </c>
      <c r="FV61">
        <v>843.09330456759301</v>
      </c>
      <c r="FW61">
        <v>1022.9607903697545</v>
      </c>
      <c r="FX61">
        <v>1237.2644108373545</v>
      </c>
      <c r="FZ61">
        <v>408.03597268695341</v>
      </c>
      <c r="GA61">
        <v>434.75355887408102</v>
      </c>
      <c r="GB61">
        <v>464.28759567068732</v>
      </c>
      <c r="GC61">
        <v>497.05357754140601</v>
      </c>
      <c r="GD61">
        <v>533.54670099266252</v>
      </c>
      <c r="GE61">
        <v>574.36089932178652</v>
      </c>
      <c r="GF61">
        <v>620.21337558686673</v>
      </c>
      <c r="GG61">
        <v>671.97651517282475</v>
      </c>
      <c r="GH61">
        <v>730.71981006290696</v>
      </c>
      <c r="GJ61">
        <v>154.63318012686213</v>
      </c>
      <c r="GK61">
        <v>162.55028165291287</v>
      </c>
      <c r="GL61">
        <v>170.89100163908711</v>
      </c>
      <c r="GM61">
        <v>179.68535160949125</v>
      </c>
      <c r="GN61">
        <v>188.9651326441101</v>
      </c>
      <c r="GO61">
        <v>198.76368660745968</v>
      </c>
      <c r="GP61">
        <v>209.11542325861637</v>
      </c>
      <c r="GQ61">
        <v>220.05500270323441</v>
      </c>
      <c r="GR61">
        <v>235.52014656905962</v>
      </c>
      <c r="GS61">
        <v>271.96506392811773</v>
      </c>
    </row>
    <row r="63" spans="2:201">
      <c r="B63">
        <v>0.17262646029176718</v>
      </c>
      <c r="C63">
        <v>0.11759009798923742</v>
      </c>
      <c r="D63">
        <v>7.6927492569757408E-2</v>
      </c>
      <c r="E63">
        <v>5.0973417633638662E-2</v>
      </c>
      <c r="F63">
        <v>3.3693441230658386E-2</v>
      </c>
      <c r="G63">
        <v>2.1909460818550937E-2</v>
      </c>
      <c r="H63">
        <v>1.4547686139127183E-2</v>
      </c>
      <c r="I63">
        <v>1.1120951347040425E-2</v>
      </c>
      <c r="J63">
        <v>8.4928933046624234E-3</v>
      </c>
      <c r="L63">
        <v>0.72604721649228876</v>
      </c>
      <c r="M63">
        <v>0.50335783134589085</v>
      </c>
      <c r="N63">
        <v>0.34433008122175374</v>
      </c>
      <c r="O63">
        <v>0.22386503019458356</v>
      </c>
      <c r="P63">
        <v>0.14340510411235052</v>
      </c>
      <c r="Q63">
        <v>8.9315428724911494E-2</v>
      </c>
      <c r="R63">
        <v>5.9058149087627576E-2</v>
      </c>
      <c r="S63">
        <v>4.2029386798517088E-2</v>
      </c>
      <c r="T63">
        <v>3.0068153386751218E-2</v>
      </c>
      <c r="V63">
        <v>2.7863259212986282</v>
      </c>
      <c r="W63">
        <v>1.9862881402213457</v>
      </c>
      <c r="X63">
        <v>1.6150628331886667</v>
      </c>
      <c r="Y63">
        <v>1.643041749962187</v>
      </c>
      <c r="Z63">
        <v>1.1560573948167805</v>
      </c>
      <c r="AA63">
        <v>0.74910078743172659</v>
      </c>
      <c r="AB63">
        <v>0.55545516201611855</v>
      </c>
      <c r="AC63">
        <v>0.40232643675960639</v>
      </c>
      <c r="AD63">
        <v>0.31249311073496272</v>
      </c>
      <c r="AF63">
        <v>4.8167753063539864</v>
      </c>
      <c r="AG63">
        <v>4.0654885048932652</v>
      </c>
      <c r="AH63">
        <v>3.1957659233538944</v>
      </c>
      <c r="AI63">
        <v>2.5153250802183007</v>
      </c>
      <c r="AJ63">
        <v>2.3134199059863709</v>
      </c>
      <c r="AK63">
        <v>2.2916734461758934</v>
      </c>
      <c r="AL63">
        <v>2.0750254562651294</v>
      </c>
      <c r="AM63">
        <v>1.6949328304130973</v>
      </c>
      <c r="AN63">
        <v>1.3399805579442094</v>
      </c>
      <c r="AP63">
        <v>0.23506568485838708</v>
      </c>
      <c r="AQ63">
        <v>0.31249311073496272</v>
      </c>
      <c r="AR63">
        <v>0.40232643675960639</v>
      </c>
      <c r="AS63">
        <v>0.55545516201611855</v>
      </c>
      <c r="AT63">
        <v>0.74910078743172659</v>
      </c>
      <c r="AU63">
        <v>1.1560573948167805</v>
      </c>
      <c r="AV63">
        <v>1.643041749962187</v>
      </c>
      <c r="AW63">
        <v>1.6150628331886667</v>
      </c>
      <c r="AX63">
        <v>1.9862881402213457</v>
      </c>
      <c r="AZ63">
        <v>0.98722214273810072</v>
      </c>
      <c r="BA63">
        <v>1.3399805579442094</v>
      </c>
      <c r="BB63">
        <v>1.6949328304130973</v>
      </c>
      <c r="BC63">
        <v>2.0750254562651294</v>
      </c>
      <c r="BD63">
        <v>2.2916734461758934</v>
      </c>
      <c r="BE63">
        <v>2.3134199059863709</v>
      </c>
      <c r="BF63">
        <v>2.5153250802183007</v>
      </c>
      <c r="BG63">
        <v>3.1957659233538944</v>
      </c>
      <c r="BH63">
        <v>4.0654885048932652</v>
      </c>
      <c r="BJ63">
        <v>6.4702004233587219E-3</v>
      </c>
      <c r="BK63">
        <v>8.4928933046624234E-3</v>
      </c>
      <c r="BL63">
        <v>1.1120951347040425E-2</v>
      </c>
      <c r="BM63">
        <v>1.4547686139127183E-2</v>
      </c>
      <c r="BN63">
        <v>2.1909460818550937E-2</v>
      </c>
      <c r="BO63">
        <v>3.3693441230658386E-2</v>
      </c>
      <c r="BP63">
        <v>5.0973417633638662E-2</v>
      </c>
      <c r="BQ63">
        <v>7.6927492569757408E-2</v>
      </c>
      <c r="BR63">
        <v>0.11759009798923742</v>
      </c>
      <c r="BT63">
        <v>2.1612307461123307E-2</v>
      </c>
      <c r="BU63">
        <v>3.0068153386751218E-2</v>
      </c>
      <c r="BV63">
        <v>4.2029386798517088E-2</v>
      </c>
      <c r="BW63">
        <v>5.9058149087627576E-2</v>
      </c>
      <c r="BX63">
        <v>8.9315428724911494E-2</v>
      </c>
      <c r="BY63">
        <v>0.14340510411235052</v>
      </c>
      <c r="BZ63">
        <v>0.22386503019458356</v>
      </c>
      <c r="CA63">
        <v>0.34433008122175374</v>
      </c>
      <c r="CB63">
        <v>0.50335783134589085</v>
      </c>
      <c r="CD63">
        <v>9.5317916102531013E-4</v>
      </c>
      <c r="CE63">
        <v>1.1098707233007166E-3</v>
      </c>
      <c r="CF63">
        <v>1.2970735218638598E-3</v>
      </c>
      <c r="CG63">
        <v>1.5218679065587091E-3</v>
      </c>
      <c r="CH63">
        <v>1.7932682852878135E-3</v>
      </c>
      <c r="CI63">
        <v>2.1228358815969768E-3</v>
      </c>
      <c r="CJ63">
        <v>2.5255133689965899E-3</v>
      </c>
      <c r="CK63">
        <v>3.0207718160933472E-3</v>
      </c>
      <c r="CL63">
        <v>3.6954598400448474E-3</v>
      </c>
      <c r="CN63">
        <v>2.4840168388052248E-3</v>
      </c>
      <c r="CO63">
        <v>2.9290827283269148E-3</v>
      </c>
      <c r="CP63">
        <v>3.473878409743007E-3</v>
      </c>
      <c r="CQ63">
        <v>4.1455341713512572E-3</v>
      </c>
      <c r="CR63">
        <v>4.9799518668216655E-3</v>
      </c>
      <c r="CS63">
        <v>6.0251226252856357E-3</v>
      </c>
      <c r="CT63">
        <v>7.3458949776474417E-3</v>
      </c>
      <c r="CU63">
        <v>9.030919377787933E-3</v>
      </c>
      <c r="CV63">
        <v>1.1202907986079062E-2</v>
      </c>
      <c r="CX63">
        <v>0.17262646029176718</v>
      </c>
      <c r="CY63">
        <v>0.11759009798923742</v>
      </c>
      <c r="CZ63">
        <v>7.6927492569757408E-2</v>
      </c>
      <c r="DA63">
        <v>5.0973417633638662E-2</v>
      </c>
      <c r="DB63">
        <v>3.3693441230658386E-2</v>
      </c>
      <c r="DC63">
        <v>2.1909460818550937E-2</v>
      </c>
      <c r="DD63">
        <v>1.4547686139127183E-2</v>
      </c>
      <c r="DE63">
        <v>1.1120951347040425E-2</v>
      </c>
      <c r="DF63">
        <v>8.4928933046624234E-3</v>
      </c>
      <c r="DH63">
        <v>0.72604721649228876</v>
      </c>
      <c r="DI63">
        <v>0.50335783134589085</v>
      </c>
      <c r="DJ63">
        <v>0.34433008122175374</v>
      </c>
      <c r="DK63">
        <v>0.22386503019458356</v>
      </c>
      <c r="DL63">
        <v>0.14340510411235052</v>
      </c>
      <c r="DM63">
        <v>8.9315428724911494E-2</v>
      </c>
      <c r="DN63">
        <v>5.9058149087627576E-2</v>
      </c>
      <c r="DO63">
        <v>4.2029386798517088E-2</v>
      </c>
      <c r="DP63">
        <v>3.0068153386751218E-2</v>
      </c>
      <c r="DR63">
        <v>2.7863259212986282</v>
      </c>
      <c r="DS63">
        <v>1.9862881402213457</v>
      </c>
      <c r="DT63">
        <v>1.6150628331886667</v>
      </c>
      <c r="DU63">
        <v>1.643041749962187</v>
      </c>
      <c r="DV63">
        <v>1.1560573948167805</v>
      </c>
      <c r="DW63">
        <v>0.74910078743172659</v>
      </c>
      <c r="DX63">
        <v>0.55545516201611855</v>
      </c>
      <c r="DY63">
        <v>0.40232643675960639</v>
      </c>
      <c r="DZ63">
        <v>0.31249311073496272</v>
      </c>
      <c r="EB63">
        <v>4.8167753063539864</v>
      </c>
      <c r="EC63">
        <v>4.0654885048932652</v>
      </c>
      <c r="ED63">
        <v>3.1957659233538944</v>
      </c>
      <c r="EE63">
        <v>2.5153250802183007</v>
      </c>
      <c r="EF63">
        <v>2.3134199059863709</v>
      </c>
      <c r="EG63">
        <v>2.2916734461758934</v>
      </c>
      <c r="EH63">
        <v>2.0750254562651294</v>
      </c>
      <c r="EI63">
        <v>1.6949328304130973</v>
      </c>
      <c r="EJ63">
        <v>1.3399805579442094</v>
      </c>
      <c r="EL63">
        <v>0.23506568485838708</v>
      </c>
      <c r="EM63">
        <v>0.31249311073496272</v>
      </c>
      <c r="EN63">
        <v>0.40232643675960639</v>
      </c>
      <c r="EO63">
        <v>0.55545516201611855</v>
      </c>
      <c r="EP63">
        <v>0.74910078743172659</v>
      </c>
      <c r="EQ63">
        <v>1.1560573948167805</v>
      </c>
      <c r="ER63">
        <v>1.643041749962187</v>
      </c>
      <c r="ES63">
        <v>1.6150628331886667</v>
      </c>
      <c r="ET63">
        <v>1.9862881402213457</v>
      </c>
      <c r="EV63">
        <v>0.98722214273810072</v>
      </c>
      <c r="EW63">
        <v>1.3399805579442094</v>
      </c>
      <c r="EX63">
        <v>1.6949328304130973</v>
      </c>
      <c r="EY63">
        <v>2.0750254562651294</v>
      </c>
      <c r="EZ63">
        <v>2.2916734461758934</v>
      </c>
      <c r="FA63">
        <v>2.3134199059863709</v>
      </c>
      <c r="FB63">
        <v>2.5153250802183007</v>
      </c>
      <c r="FC63">
        <v>3.1957659233538944</v>
      </c>
      <c r="FD63">
        <v>4.0654885048932652</v>
      </c>
      <c r="FF63">
        <v>6.4702004233587219E-3</v>
      </c>
      <c r="FG63">
        <v>8.4928933046624234E-3</v>
      </c>
      <c r="FH63">
        <v>1.1120951347040425E-2</v>
      </c>
      <c r="FI63">
        <v>1.4547686139127183E-2</v>
      </c>
      <c r="FJ63">
        <v>2.1909460818550937E-2</v>
      </c>
      <c r="FK63">
        <v>3.3693441230658386E-2</v>
      </c>
      <c r="FL63">
        <v>5.0973417633638662E-2</v>
      </c>
      <c r="FM63">
        <v>7.6927492569757408E-2</v>
      </c>
      <c r="FN63">
        <v>0.11759009798923742</v>
      </c>
      <c r="FP63">
        <v>2.1612307461123307E-2</v>
      </c>
      <c r="FQ63">
        <v>3.0068153386751218E-2</v>
      </c>
      <c r="FR63">
        <v>4.2029386798517088E-2</v>
      </c>
      <c r="FS63">
        <v>5.9058149087627576E-2</v>
      </c>
      <c r="FT63">
        <v>8.9315428724911494E-2</v>
      </c>
      <c r="FU63">
        <v>0.14340510411235052</v>
      </c>
      <c r="FV63">
        <v>0.22386503019458356</v>
      </c>
      <c r="FW63">
        <v>0.34433008122175374</v>
      </c>
      <c r="FX63">
        <v>0.50335783134589085</v>
      </c>
      <c r="FZ63">
        <v>9.5317916102531013E-4</v>
      </c>
      <c r="GA63">
        <v>1.1098707233007166E-3</v>
      </c>
      <c r="GB63">
        <v>1.2970735218638598E-3</v>
      </c>
      <c r="GC63">
        <v>1.5218679065587091E-3</v>
      </c>
      <c r="GD63">
        <v>1.7932682852878135E-3</v>
      </c>
      <c r="GE63">
        <v>2.1228358815969768E-3</v>
      </c>
      <c r="GF63">
        <v>2.5255133689965899E-3</v>
      </c>
      <c r="GG63">
        <v>3.0207718160933472E-3</v>
      </c>
      <c r="GH63">
        <v>3.6954598400448474E-3</v>
      </c>
      <c r="GJ63">
        <v>2.4840168388052248E-3</v>
      </c>
      <c r="GK63">
        <v>2.9290827283269148E-3</v>
      </c>
      <c r="GL63">
        <v>3.473878409743007E-3</v>
      </c>
      <c r="GM63">
        <v>4.1455341713512572E-3</v>
      </c>
      <c r="GN63">
        <v>4.9799518668216655E-3</v>
      </c>
      <c r="GO63">
        <v>6.0251226252856357E-3</v>
      </c>
      <c r="GP63">
        <v>7.3458949776474417E-3</v>
      </c>
      <c r="GQ63">
        <v>9.030919377787933E-3</v>
      </c>
      <c r="GR63">
        <v>1.1202907986079062E-2</v>
      </c>
      <c r="GS63">
        <v>1.5564562186078497E-2</v>
      </c>
    </row>
    <row r="64" spans="2:201">
      <c r="B64">
        <v>0.28982127718330675</v>
      </c>
      <c r="C64">
        <v>0.18928812261489952</v>
      </c>
      <c r="D64">
        <v>0.11984363171528821</v>
      </c>
      <c r="E64">
        <v>7.6874735535179858E-2</v>
      </c>
      <c r="F64">
        <v>4.9146176727607307E-2</v>
      </c>
      <c r="G64">
        <v>3.008772462060047E-2</v>
      </c>
      <c r="H64">
        <v>1.8711688267300727E-2</v>
      </c>
      <c r="I64">
        <v>1.3927459287875772E-2</v>
      </c>
      <c r="J64">
        <v>1.038872369095181E-2</v>
      </c>
      <c r="L64">
        <v>0.75485892780893904</v>
      </c>
      <c r="M64">
        <v>0.50271818116299738</v>
      </c>
      <c r="N64">
        <v>0.33724043055891673</v>
      </c>
      <c r="O64">
        <v>0.2168813764493574</v>
      </c>
      <c r="P64">
        <v>0.13470789146638101</v>
      </c>
      <c r="Q64">
        <v>8.1144578907243692E-2</v>
      </c>
      <c r="R64">
        <v>5.168493919093442E-2</v>
      </c>
      <c r="S64">
        <v>3.6636877762543658E-2</v>
      </c>
      <c r="T64">
        <v>2.6159870122330422E-2</v>
      </c>
      <c r="V64">
        <v>9.5742013219832032</v>
      </c>
      <c r="W64">
        <v>6.4935000770219498</v>
      </c>
      <c r="X64">
        <v>4.2686572338301643</v>
      </c>
      <c r="Y64">
        <v>3.2465452327715409</v>
      </c>
      <c r="Z64">
        <v>2.2454556106974888</v>
      </c>
      <c r="AA64">
        <v>1.5208067686830957</v>
      </c>
      <c r="AB64">
        <v>1.0910360546794957</v>
      </c>
      <c r="AC64">
        <v>0.79647263158085568</v>
      </c>
      <c r="AD64">
        <v>0.56834195506953389</v>
      </c>
      <c r="AF64">
        <v>6.8127427536639917</v>
      </c>
      <c r="AG64">
        <v>5.3450578514357199</v>
      </c>
      <c r="AH64">
        <v>3.959077810108897</v>
      </c>
      <c r="AI64">
        <v>3.2644300671725848</v>
      </c>
      <c r="AJ64">
        <v>3.143852851108619</v>
      </c>
      <c r="AK64">
        <v>2.8216510393723748</v>
      </c>
      <c r="AL64">
        <v>2.3685219725395896</v>
      </c>
      <c r="AM64">
        <v>1.8894640039937314</v>
      </c>
      <c r="AN64">
        <v>1.4402012124759451</v>
      </c>
      <c r="AP64">
        <v>0.40588619744726556</v>
      </c>
      <c r="AQ64">
        <v>0.56834195506953389</v>
      </c>
      <c r="AR64">
        <v>0.79647263158085568</v>
      </c>
      <c r="AS64">
        <v>1.0910360546794957</v>
      </c>
      <c r="AT64">
        <v>1.5208067686830957</v>
      </c>
      <c r="AU64">
        <v>2.2454556106974888</v>
      </c>
      <c r="AV64">
        <v>3.2465452327715409</v>
      </c>
      <c r="AW64">
        <v>4.2686572338301643</v>
      </c>
      <c r="AX64">
        <v>6.4935000770219498</v>
      </c>
      <c r="AZ64">
        <v>1.0502207483247057</v>
      </c>
      <c r="BA64">
        <v>1.4402012124759451</v>
      </c>
      <c r="BB64">
        <v>1.8894640039937314</v>
      </c>
      <c r="BC64">
        <v>2.3685219725395896</v>
      </c>
      <c r="BD64">
        <v>2.8216510393723748</v>
      </c>
      <c r="BE64">
        <v>3.143852851108619</v>
      </c>
      <c r="BF64">
        <v>3.2644300671725848</v>
      </c>
      <c r="BG64">
        <v>3.959077810108897</v>
      </c>
      <c r="BH64">
        <v>5.3450578514357199</v>
      </c>
      <c r="BJ64">
        <v>7.7473087324595458E-3</v>
      </c>
      <c r="BK64">
        <v>1.038872369095181E-2</v>
      </c>
      <c r="BL64">
        <v>1.3927459287875772E-2</v>
      </c>
      <c r="BM64">
        <v>1.8711688267300727E-2</v>
      </c>
      <c r="BN64">
        <v>3.008772462060047E-2</v>
      </c>
      <c r="BO64">
        <v>4.9146176727607307E-2</v>
      </c>
      <c r="BP64">
        <v>7.6874735535179858E-2</v>
      </c>
      <c r="BQ64">
        <v>0.11984363171528821</v>
      </c>
      <c r="BR64">
        <v>0.18928812261489952</v>
      </c>
      <c r="BT64">
        <v>1.876475791229806E-2</v>
      </c>
      <c r="BU64">
        <v>2.6159870122330422E-2</v>
      </c>
      <c r="BV64">
        <v>3.6636877762543658E-2</v>
      </c>
      <c r="BW64">
        <v>5.168493919093442E-2</v>
      </c>
      <c r="BX64">
        <v>8.1144578907243692E-2</v>
      </c>
      <c r="BY64">
        <v>0.13470789146638101</v>
      </c>
      <c r="BZ64">
        <v>0.2168813764493574</v>
      </c>
      <c r="CA64">
        <v>0.33724043055891673</v>
      </c>
      <c r="CB64">
        <v>0.50271818116299738</v>
      </c>
      <c r="CD64">
        <v>1.0480922063518575E-3</v>
      </c>
      <c r="CE64">
        <v>1.2247688949978E-3</v>
      </c>
      <c r="CF64">
        <v>1.4369562670392252E-3</v>
      </c>
      <c r="CG64">
        <v>1.6932138254710405E-3</v>
      </c>
      <c r="CH64">
        <v>2.004547743571171E-3</v>
      </c>
      <c r="CI64">
        <v>2.3852297415284515E-3</v>
      </c>
      <c r="CJ64">
        <v>2.8539332101310644E-3</v>
      </c>
      <c r="CK64">
        <v>3.4353274448485783E-3</v>
      </c>
      <c r="CL64">
        <v>4.2538378606635117E-3</v>
      </c>
      <c r="CN64">
        <v>2.1708536098926897E-3</v>
      </c>
      <c r="CO64">
        <v>2.5360827856124851E-3</v>
      </c>
      <c r="CP64">
        <v>2.9847652962974591E-3</v>
      </c>
      <c r="CQ64">
        <v>3.5593880373018115E-3</v>
      </c>
      <c r="CR64">
        <v>4.2731124899662949E-3</v>
      </c>
      <c r="CS64">
        <v>5.1670179277897473E-3</v>
      </c>
      <c r="CT64">
        <v>6.2966695776751043E-3</v>
      </c>
      <c r="CU64">
        <v>7.7381229975671713E-3</v>
      </c>
      <c r="CV64">
        <v>9.6697590948892631E-3</v>
      </c>
      <c r="CX64">
        <v>0.28982127718330675</v>
      </c>
      <c r="CY64">
        <v>0.18928812261489952</v>
      </c>
      <c r="CZ64">
        <v>0.11984363171528821</v>
      </c>
      <c r="DA64">
        <v>7.6874735535179858E-2</v>
      </c>
      <c r="DB64">
        <v>4.9146176727607307E-2</v>
      </c>
      <c r="DC64">
        <v>3.008772462060047E-2</v>
      </c>
      <c r="DD64">
        <v>1.8711688267300727E-2</v>
      </c>
      <c r="DE64">
        <v>1.3927459287875772E-2</v>
      </c>
      <c r="DF64">
        <v>1.038872369095181E-2</v>
      </c>
      <c r="DH64">
        <v>0.75485892780893904</v>
      </c>
      <c r="DI64">
        <v>0.50271818116299738</v>
      </c>
      <c r="DJ64">
        <v>0.33724043055891673</v>
      </c>
      <c r="DK64">
        <v>0.2168813764493574</v>
      </c>
      <c r="DL64">
        <v>0.13470789146638101</v>
      </c>
      <c r="DM64">
        <v>8.1144578907243692E-2</v>
      </c>
      <c r="DN64">
        <v>5.168493919093442E-2</v>
      </c>
      <c r="DO64">
        <v>3.6636877762543658E-2</v>
      </c>
      <c r="DP64">
        <v>2.6159870122330422E-2</v>
      </c>
      <c r="DR64">
        <v>9.5742013219832032</v>
      </c>
      <c r="DS64">
        <v>6.4935000770219498</v>
      </c>
      <c r="DT64">
        <v>4.2686572338301643</v>
      </c>
      <c r="DU64">
        <v>3.2465452327715409</v>
      </c>
      <c r="DV64">
        <v>2.2454556106974888</v>
      </c>
      <c r="DW64">
        <v>1.5208067686830957</v>
      </c>
      <c r="DX64">
        <v>1.0910360546794957</v>
      </c>
      <c r="DY64">
        <v>0.79647263158085568</v>
      </c>
      <c r="DZ64">
        <v>0.56834195506953389</v>
      </c>
      <c r="EB64">
        <v>6.8127427536639917</v>
      </c>
      <c r="EC64">
        <v>5.3450578514357199</v>
      </c>
      <c r="ED64">
        <v>3.959077810108897</v>
      </c>
      <c r="EE64">
        <v>3.2644300671725848</v>
      </c>
      <c r="EF64">
        <v>3.143852851108619</v>
      </c>
      <c r="EG64">
        <v>2.8216510393723748</v>
      </c>
      <c r="EH64">
        <v>2.3685219725395896</v>
      </c>
      <c r="EI64">
        <v>1.8894640039937314</v>
      </c>
      <c r="EJ64">
        <v>1.4402012124759451</v>
      </c>
      <c r="EL64">
        <v>0.40588619744726556</v>
      </c>
      <c r="EM64">
        <v>0.56834195506953389</v>
      </c>
      <c r="EN64">
        <v>0.79647263158085568</v>
      </c>
      <c r="EO64">
        <v>1.0910360546794957</v>
      </c>
      <c r="EP64">
        <v>1.5208067686830957</v>
      </c>
      <c r="EQ64">
        <v>2.2454556106974888</v>
      </c>
      <c r="ER64">
        <v>3.2465452327715409</v>
      </c>
      <c r="ES64">
        <v>4.2686572338301643</v>
      </c>
      <c r="ET64">
        <v>6.4935000770219498</v>
      </c>
      <c r="EV64">
        <v>1.0502207483247057</v>
      </c>
      <c r="EW64">
        <v>1.4402012124759451</v>
      </c>
      <c r="EX64">
        <v>1.8894640039937314</v>
      </c>
      <c r="EY64">
        <v>2.3685219725395896</v>
      </c>
      <c r="EZ64">
        <v>2.8216510393723748</v>
      </c>
      <c r="FA64">
        <v>3.143852851108619</v>
      </c>
      <c r="FB64">
        <v>3.2644300671725848</v>
      </c>
      <c r="FC64">
        <v>3.959077810108897</v>
      </c>
      <c r="FD64">
        <v>5.3450578514357199</v>
      </c>
      <c r="FF64">
        <v>7.7473087324595458E-3</v>
      </c>
      <c r="FG64">
        <v>1.038872369095181E-2</v>
      </c>
      <c r="FH64">
        <v>1.3927459287875772E-2</v>
      </c>
      <c r="FI64">
        <v>1.8711688267300727E-2</v>
      </c>
      <c r="FJ64">
        <v>3.008772462060047E-2</v>
      </c>
      <c r="FK64">
        <v>4.9146176727607307E-2</v>
      </c>
      <c r="FL64">
        <v>7.6874735535179858E-2</v>
      </c>
      <c r="FM64">
        <v>0.11984363171528821</v>
      </c>
      <c r="FN64">
        <v>0.18928812261489952</v>
      </c>
      <c r="FP64">
        <v>1.876475791229806E-2</v>
      </c>
      <c r="FQ64">
        <v>2.6159870122330422E-2</v>
      </c>
      <c r="FR64">
        <v>3.6636877762543658E-2</v>
      </c>
      <c r="FS64">
        <v>5.168493919093442E-2</v>
      </c>
      <c r="FT64">
        <v>8.1144578907243692E-2</v>
      </c>
      <c r="FU64">
        <v>0.13470789146638101</v>
      </c>
      <c r="FV64">
        <v>0.2168813764493574</v>
      </c>
      <c r="FW64">
        <v>0.33724043055891673</v>
      </c>
      <c r="FX64">
        <v>0.50271818116299738</v>
      </c>
      <c r="FZ64">
        <v>1.0480922063518575E-3</v>
      </c>
      <c r="GA64">
        <v>1.2247688949978E-3</v>
      </c>
      <c r="GB64">
        <v>1.4369562670392252E-3</v>
      </c>
      <c r="GC64">
        <v>1.6932138254710405E-3</v>
      </c>
      <c r="GD64">
        <v>2.004547743571171E-3</v>
      </c>
      <c r="GE64">
        <v>2.3852297415284515E-3</v>
      </c>
      <c r="GF64">
        <v>2.8539332101310644E-3</v>
      </c>
      <c r="GG64">
        <v>3.4353274448485783E-3</v>
      </c>
      <c r="GH64">
        <v>4.2538378606635117E-3</v>
      </c>
      <c r="GJ64">
        <v>2.1708536098926897E-3</v>
      </c>
      <c r="GK64">
        <v>2.5360827856124851E-3</v>
      </c>
      <c r="GL64">
        <v>2.9847652962974591E-3</v>
      </c>
      <c r="GM64">
        <v>3.5593880373018115E-3</v>
      </c>
      <c r="GN64">
        <v>4.2731124899662949E-3</v>
      </c>
      <c r="GO64">
        <v>5.1670179277897473E-3</v>
      </c>
      <c r="GP64">
        <v>6.2966695776751043E-3</v>
      </c>
      <c r="GQ64">
        <v>7.7381229975671713E-3</v>
      </c>
      <c r="GR64">
        <v>9.6697590948892631E-3</v>
      </c>
      <c r="GS64">
        <v>1.3482280154501354E-2</v>
      </c>
    </row>
    <row r="65" spans="2:201">
      <c r="B65">
        <v>0.44289004514700636</v>
      </c>
      <c r="C65">
        <v>0.27877929232276827</v>
      </c>
      <c r="D65">
        <v>0.1703473110850782</v>
      </c>
      <c r="E65">
        <v>0.10526687269792595</v>
      </c>
      <c r="F65">
        <v>6.4812653336394327E-2</v>
      </c>
      <c r="G65">
        <v>3.8219836855207488E-2</v>
      </c>
      <c r="H65">
        <v>2.2840283956226264E-2</v>
      </c>
      <c r="I65">
        <v>1.6704606751033298E-2</v>
      </c>
      <c r="J65">
        <v>1.2260998038902767E-2</v>
      </c>
      <c r="L65">
        <v>0.76185990346357679</v>
      </c>
      <c r="M65">
        <v>0.48526923050668136</v>
      </c>
      <c r="N65">
        <v>0.31161783404975046</v>
      </c>
      <c r="O65">
        <v>0.19460784524271588</v>
      </c>
      <c r="P65">
        <v>0.11889347379953145</v>
      </c>
      <c r="Q65">
        <v>7.0366521991452227E-2</v>
      </c>
      <c r="R65">
        <v>4.3382292993405812E-2</v>
      </c>
      <c r="S65">
        <v>3.0714395902290071E-2</v>
      </c>
      <c r="T65">
        <v>2.1899551492129948E-2</v>
      </c>
      <c r="V65">
        <v>12.36593804810917</v>
      </c>
      <c r="W65">
        <v>9.6378023693742119</v>
      </c>
      <c r="X65">
        <v>6.4731805539578966</v>
      </c>
      <c r="Y65">
        <v>4.4296281661330887</v>
      </c>
      <c r="Z65">
        <v>3.074349919351369</v>
      </c>
      <c r="AA65">
        <v>2.1442099935475465</v>
      </c>
      <c r="AB65">
        <v>1.5862911854481236</v>
      </c>
      <c r="AC65">
        <v>1.1900345024362899</v>
      </c>
      <c r="AD65">
        <v>0.87606912157978722</v>
      </c>
      <c r="AF65">
        <v>8.6822297117703222</v>
      </c>
      <c r="AG65">
        <v>6.5593929344560937</v>
      </c>
      <c r="AH65">
        <v>5.002913375314014</v>
      </c>
      <c r="AI65">
        <v>4.2751137972385429</v>
      </c>
      <c r="AJ65">
        <v>3.7929171602352074</v>
      </c>
      <c r="AK65">
        <v>3.0999973377297256</v>
      </c>
      <c r="AL65">
        <v>2.4826802925095866</v>
      </c>
      <c r="AM65">
        <v>1.9386989503795007</v>
      </c>
      <c r="AN65">
        <v>1.4372441345984881</v>
      </c>
      <c r="AP65">
        <v>0.62814422870607411</v>
      </c>
      <c r="AQ65">
        <v>0.87606912157978722</v>
      </c>
      <c r="AR65">
        <v>1.1900345024362899</v>
      </c>
      <c r="AS65">
        <v>1.5862911854481236</v>
      </c>
      <c r="AT65">
        <v>2.1442099935475465</v>
      </c>
      <c r="AU65">
        <v>3.074349919351369</v>
      </c>
      <c r="AV65">
        <v>4.4296281661330887</v>
      </c>
      <c r="AW65">
        <v>6.4731805539578966</v>
      </c>
      <c r="AX65">
        <v>9.6378023693742119</v>
      </c>
      <c r="AZ65">
        <v>1.0429713000561351</v>
      </c>
      <c r="BA65">
        <v>1.4372441345984881</v>
      </c>
      <c r="BB65">
        <v>1.9386989503795007</v>
      </c>
      <c r="BC65">
        <v>2.4826802925095866</v>
      </c>
      <c r="BD65">
        <v>3.0999973377297256</v>
      </c>
      <c r="BE65">
        <v>3.7929171602352074</v>
      </c>
      <c r="BF65">
        <v>4.2751137972385429</v>
      </c>
      <c r="BG65">
        <v>5.002913375314014</v>
      </c>
      <c r="BH65">
        <v>6.5593929344560937</v>
      </c>
      <c r="BJ65">
        <v>9.0058434170370572E-3</v>
      </c>
      <c r="BK65">
        <v>1.2260998038902767E-2</v>
      </c>
      <c r="BL65">
        <v>1.6704606751033298E-2</v>
      </c>
      <c r="BM65">
        <v>2.2840283956226264E-2</v>
      </c>
      <c r="BN65">
        <v>3.8219836855207488E-2</v>
      </c>
      <c r="BO65">
        <v>6.4812653336394327E-2</v>
      </c>
      <c r="BP65">
        <v>0.10526687269792595</v>
      </c>
      <c r="BQ65">
        <v>0.1703473110850782</v>
      </c>
      <c r="BR65">
        <v>0.27877929232276827</v>
      </c>
      <c r="BT65">
        <v>1.5679723075413363E-2</v>
      </c>
      <c r="BU65">
        <v>2.1899551492129948E-2</v>
      </c>
      <c r="BV65">
        <v>3.0714395902290071E-2</v>
      </c>
      <c r="BW65">
        <v>4.3382292993405812E-2</v>
      </c>
      <c r="BX65">
        <v>7.0366521991452227E-2</v>
      </c>
      <c r="BY65">
        <v>0.11889347379953145</v>
      </c>
      <c r="BZ65">
        <v>0.19460784524271588</v>
      </c>
      <c r="CA65">
        <v>0.31161783404975046</v>
      </c>
      <c r="CB65">
        <v>0.48526923050668136</v>
      </c>
      <c r="CD65">
        <v>1.1416624341668727E-3</v>
      </c>
      <c r="CE65">
        <v>1.3380237810670557E-3</v>
      </c>
      <c r="CF65">
        <v>1.5748173272117751E-3</v>
      </c>
      <c r="CG65">
        <v>1.8620586093341467E-3</v>
      </c>
      <c r="CH65">
        <v>2.2127147366433376E-3</v>
      </c>
      <c r="CI65">
        <v>2.6437265614602102E-3</v>
      </c>
      <c r="CJ65">
        <v>3.1774423704222098E-3</v>
      </c>
      <c r="CK65">
        <v>3.8436539714380795E-3</v>
      </c>
      <c r="CL65">
        <v>4.8009362014461007E-3</v>
      </c>
      <c r="CN65">
        <v>1.941859752201188E-3</v>
      </c>
      <c r="CO65">
        <v>2.2704062631531976E-3</v>
      </c>
      <c r="CP65">
        <v>2.6673182991069052E-3</v>
      </c>
      <c r="CQ65">
        <v>3.1498843274212224E-3</v>
      </c>
      <c r="CR65">
        <v>3.740619058317764E-3</v>
      </c>
      <c r="CS65">
        <v>4.4691248230175349E-3</v>
      </c>
      <c r="CT65">
        <v>5.3747248108631275E-3</v>
      </c>
      <c r="CU65">
        <v>6.5102372705471423E-3</v>
      </c>
      <c r="CV65">
        <v>8.0657365849194397E-3</v>
      </c>
      <c r="CX65">
        <v>0.44289004514700636</v>
      </c>
      <c r="CY65">
        <v>0.27877929232276827</v>
      </c>
      <c r="CZ65">
        <v>0.1703473110850782</v>
      </c>
      <c r="DA65">
        <v>0.10526687269792595</v>
      </c>
      <c r="DB65">
        <v>6.4812653336394327E-2</v>
      </c>
      <c r="DC65">
        <v>3.8219836855207488E-2</v>
      </c>
      <c r="DD65">
        <v>2.2840283956226264E-2</v>
      </c>
      <c r="DE65">
        <v>1.6704606751033298E-2</v>
      </c>
      <c r="DF65">
        <v>1.2260998038902767E-2</v>
      </c>
      <c r="DH65">
        <v>0.76185990346357679</v>
      </c>
      <c r="DI65">
        <v>0.48526923050668136</v>
      </c>
      <c r="DJ65">
        <v>0.31161783404975046</v>
      </c>
      <c r="DK65">
        <v>0.19460784524271588</v>
      </c>
      <c r="DL65">
        <v>0.11889347379953145</v>
      </c>
      <c r="DM65">
        <v>7.0366521991452227E-2</v>
      </c>
      <c r="DN65">
        <v>4.3382292993405812E-2</v>
      </c>
      <c r="DO65">
        <v>3.0714395902290071E-2</v>
      </c>
      <c r="DP65">
        <v>2.1899551492129948E-2</v>
      </c>
      <c r="DR65">
        <v>12.36593804810917</v>
      </c>
      <c r="DS65">
        <v>9.6378023693742119</v>
      </c>
      <c r="DT65">
        <v>6.4731805539578966</v>
      </c>
      <c r="DU65">
        <v>4.4296281661330887</v>
      </c>
      <c r="DV65">
        <v>3.074349919351369</v>
      </c>
      <c r="DW65">
        <v>2.1442099935475465</v>
      </c>
      <c r="DX65">
        <v>1.5862911854481236</v>
      </c>
      <c r="DY65">
        <v>1.1900345024362899</v>
      </c>
      <c r="DZ65">
        <v>0.87606912157978722</v>
      </c>
      <c r="EB65">
        <v>8.6822297117703222</v>
      </c>
      <c r="EC65">
        <v>6.5593929344560937</v>
      </c>
      <c r="ED65">
        <v>5.002913375314014</v>
      </c>
      <c r="EE65">
        <v>4.2751137972385429</v>
      </c>
      <c r="EF65">
        <v>3.7929171602352074</v>
      </c>
      <c r="EG65">
        <v>3.0999973377297256</v>
      </c>
      <c r="EH65">
        <v>2.4826802925095866</v>
      </c>
      <c r="EI65">
        <v>1.9386989503795007</v>
      </c>
      <c r="EJ65">
        <v>1.4372441345984881</v>
      </c>
      <c r="EL65">
        <v>0.62814422870607411</v>
      </c>
      <c r="EM65">
        <v>0.87606912157978722</v>
      </c>
      <c r="EN65">
        <v>1.1900345024362899</v>
      </c>
      <c r="EO65">
        <v>1.5862911854481236</v>
      </c>
      <c r="EP65">
        <v>2.1442099935475465</v>
      </c>
      <c r="EQ65">
        <v>3.074349919351369</v>
      </c>
      <c r="ER65">
        <v>4.4296281661330887</v>
      </c>
      <c r="ES65">
        <v>6.4731805539578966</v>
      </c>
      <c r="ET65">
        <v>9.6378023693742119</v>
      </c>
      <c r="EV65">
        <v>1.0429713000561351</v>
      </c>
      <c r="EW65">
        <v>1.4372441345984881</v>
      </c>
      <c r="EX65">
        <v>1.9386989503795007</v>
      </c>
      <c r="EY65">
        <v>2.4826802925095866</v>
      </c>
      <c r="EZ65">
        <v>3.0999973377297256</v>
      </c>
      <c r="FA65">
        <v>3.7929171602352074</v>
      </c>
      <c r="FB65">
        <v>4.2751137972385429</v>
      </c>
      <c r="FC65">
        <v>5.002913375314014</v>
      </c>
      <c r="FD65">
        <v>6.5593929344560937</v>
      </c>
      <c r="FF65">
        <v>9.0058434170370572E-3</v>
      </c>
      <c r="FG65">
        <v>1.2260998038902767E-2</v>
      </c>
      <c r="FH65">
        <v>1.6704606751033298E-2</v>
      </c>
      <c r="FI65">
        <v>2.2840283956226264E-2</v>
      </c>
      <c r="FJ65">
        <v>3.8219836855207488E-2</v>
      </c>
      <c r="FK65">
        <v>6.4812653336394327E-2</v>
      </c>
      <c r="FL65">
        <v>0.10526687269792595</v>
      </c>
      <c r="FM65">
        <v>0.1703473110850782</v>
      </c>
      <c r="FN65">
        <v>0.27877929232276827</v>
      </c>
      <c r="FP65">
        <v>1.5679723075413363E-2</v>
      </c>
      <c r="FQ65">
        <v>2.1899551492129948E-2</v>
      </c>
      <c r="FR65">
        <v>3.0714395902290071E-2</v>
      </c>
      <c r="FS65">
        <v>4.3382292993405812E-2</v>
      </c>
      <c r="FT65">
        <v>7.0366521991452227E-2</v>
      </c>
      <c r="FU65">
        <v>0.11889347379953145</v>
      </c>
      <c r="FV65">
        <v>0.19460784524271588</v>
      </c>
      <c r="FW65">
        <v>0.31161783404975046</v>
      </c>
      <c r="FX65">
        <v>0.48526923050668136</v>
      </c>
      <c r="FZ65">
        <v>1.1416624341668727E-3</v>
      </c>
      <c r="GA65">
        <v>1.3380237810670557E-3</v>
      </c>
      <c r="GB65">
        <v>1.5748173272117751E-3</v>
      </c>
      <c r="GC65">
        <v>1.8620586093341467E-3</v>
      </c>
      <c r="GD65">
        <v>2.2127147366433376E-3</v>
      </c>
      <c r="GE65">
        <v>2.6437265614602102E-3</v>
      </c>
      <c r="GF65">
        <v>3.1774423704222098E-3</v>
      </c>
      <c r="GG65">
        <v>3.8436539714380795E-3</v>
      </c>
      <c r="GH65">
        <v>4.8009362014461007E-3</v>
      </c>
      <c r="GJ65">
        <v>1.941859752201188E-3</v>
      </c>
      <c r="GK65">
        <v>2.2704062631531976E-3</v>
      </c>
      <c r="GL65">
        <v>2.6673182991069052E-3</v>
      </c>
      <c r="GM65">
        <v>3.1498843274212224E-3</v>
      </c>
      <c r="GN65">
        <v>3.740619058317764E-3</v>
      </c>
      <c r="GO65">
        <v>4.4691248230175349E-3</v>
      </c>
      <c r="GP65">
        <v>5.3747248108631275E-3</v>
      </c>
      <c r="GQ65">
        <v>6.5102372705471423E-3</v>
      </c>
      <c r="GR65">
        <v>8.0657365849194397E-3</v>
      </c>
      <c r="GS65">
        <v>1.1237579251884247E-2</v>
      </c>
    </row>
    <row r="66" spans="2:201">
      <c r="B66">
        <v>0.55087856231571108</v>
      </c>
      <c r="C66">
        <v>0.34668937045885412</v>
      </c>
      <c r="D66">
        <v>0.21316909634080855</v>
      </c>
      <c r="E66">
        <v>0.13129910336962397</v>
      </c>
      <c r="F66">
        <v>7.9988633802152473E-2</v>
      </c>
      <c r="G66">
        <v>4.6845610899614719E-2</v>
      </c>
      <c r="H66">
        <v>2.7919125917665207E-2</v>
      </c>
      <c r="I66">
        <v>2.0245101915416133E-2</v>
      </c>
      <c r="J66">
        <v>1.4752763541320104E-2</v>
      </c>
      <c r="L66">
        <v>0.68326672534663613</v>
      </c>
      <c r="M66">
        <v>0.43218606722909247</v>
      </c>
      <c r="N66">
        <v>0.27121489676904675</v>
      </c>
      <c r="O66">
        <v>0.16723959860397331</v>
      </c>
      <c r="P66">
        <v>0.10069371598940885</v>
      </c>
      <c r="Q66">
        <v>5.8827815393081712E-2</v>
      </c>
      <c r="R66">
        <v>3.5610858781607635E-2</v>
      </c>
      <c r="S66">
        <v>2.5672662291796745E-2</v>
      </c>
      <c r="T66">
        <v>1.8622306359926549E-2</v>
      </c>
      <c r="V66">
        <v>12.202428607605755</v>
      </c>
      <c r="W66">
        <v>10.464994743127027</v>
      </c>
      <c r="X66">
        <v>7.3097758627391398</v>
      </c>
      <c r="Y66">
        <v>4.9283101603981176</v>
      </c>
      <c r="Z66">
        <v>3.5339159774678692</v>
      </c>
      <c r="AA66">
        <v>2.5387330144393614</v>
      </c>
      <c r="AB66">
        <v>1.9068236451555145</v>
      </c>
      <c r="AC66">
        <v>1.446429506403714</v>
      </c>
      <c r="AD66">
        <v>1.0740751608951866</v>
      </c>
      <c r="AF66">
        <v>9.8938935758936779</v>
      </c>
      <c r="AG66">
        <v>7.910035362461656</v>
      </c>
      <c r="AH66">
        <v>6.1388066390442262</v>
      </c>
      <c r="AI66">
        <v>5.0379612226639043</v>
      </c>
      <c r="AJ66">
        <v>3.9945325399668481</v>
      </c>
      <c r="AK66">
        <v>3.0097297871347308</v>
      </c>
      <c r="AL66">
        <v>2.3125365774418483</v>
      </c>
      <c r="AM66">
        <v>1.7984224096962569</v>
      </c>
      <c r="AN66">
        <v>1.3372329752225494</v>
      </c>
      <c r="AP66">
        <v>0.77538243888242997</v>
      </c>
      <c r="AQ66">
        <v>1.0740751608951866</v>
      </c>
      <c r="AR66">
        <v>1.446429506403714</v>
      </c>
      <c r="AS66">
        <v>1.9068236451555145</v>
      </c>
      <c r="AT66">
        <v>2.5387330144393614</v>
      </c>
      <c r="AU66">
        <v>3.5339159774678692</v>
      </c>
      <c r="AV66">
        <v>4.9283101603981176</v>
      </c>
      <c r="AW66">
        <v>7.3097758627391398</v>
      </c>
      <c r="AX66">
        <v>10.464994743127027</v>
      </c>
      <c r="AZ66">
        <v>0.95892822316448834</v>
      </c>
      <c r="BA66">
        <v>1.3372329752225494</v>
      </c>
      <c r="BB66">
        <v>1.7984224096962569</v>
      </c>
      <c r="BC66">
        <v>2.3125365774418483</v>
      </c>
      <c r="BD66">
        <v>3.0097297871347308</v>
      </c>
      <c r="BE66">
        <v>3.9945325399668481</v>
      </c>
      <c r="BF66">
        <v>5.0379612226639043</v>
      </c>
      <c r="BG66">
        <v>6.1388066390442262</v>
      </c>
      <c r="BH66">
        <v>7.910035362461656</v>
      </c>
      <c r="BJ66">
        <v>1.0771868249661929E-2</v>
      </c>
      <c r="BK66">
        <v>1.4752763541320104E-2</v>
      </c>
      <c r="BL66">
        <v>2.0245101915416133E-2</v>
      </c>
      <c r="BM66">
        <v>2.7919125917665207E-2</v>
      </c>
      <c r="BN66">
        <v>4.6845610899614719E-2</v>
      </c>
      <c r="BO66">
        <v>7.9988633802152473E-2</v>
      </c>
      <c r="BP66">
        <v>0.13129910336962397</v>
      </c>
      <c r="BQ66">
        <v>0.21316909634080855</v>
      </c>
      <c r="BR66">
        <v>0.34668937045885412</v>
      </c>
      <c r="BT66">
        <v>1.3553311803354239E-2</v>
      </c>
      <c r="BU66">
        <v>1.8622306359926549E-2</v>
      </c>
      <c r="BV66">
        <v>2.5672662291796745E-2</v>
      </c>
      <c r="BW66">
        <v>3.5610858781607635E-2</v>
      </c>
      <c r="BX66">
        <v>5.8827815393081712E-2</v>
      </c>
      <c r="BY66">
        <v>0.10069371598940885</v>
      </c>
      <c r="BZ66">
        <v>0.16723959860397331</v>
      </c>
      <c r="CA66">
        <v>0.27121489676904675</v>
      </c>
      <c r="CB66">
        <v>0.43218606722909247</v>
      </c>
      <c r="CD66">
        <v>1.3473962407830294E-3</v>
      </c>
      <c r="CE66">
        <v>1.5788101820676515E-3</v>
      </c>
      <c r="CF66">
        <v>1.8582740086003271E-3</v>
      </c>
      <c r="CG66">
        <v>2.1978397138884211E-3</v>
      </c>
      <c r="CH66">
        <v>2.6131643778895316E-3</v>
      </c>
      <c r="CI66">
        <v>3.1247797329101625E-3</v>
      </c>
      <c r="CJ66">
        <v>3.7598823165336044E-3</v>
      </c>
      <c r="CK66">
        <v>4.5548905398750863E-3</v>
      </c>
      <c r="CL66">
        <v>5.6973539376174121E-3</v>
      </c>
      <c r="CN66">
        <v>1.7073189720659908E-3</v>
      </c>
      <c r="CO66">
        <v>1.9978148895029588E-3</v>
      </c>
      <c r="CP66">
        <v>2.3487867069879095E-3</v>
      </c>
      <c r="CQ66">
        <v>2.775510375146385E-3</v>
      </c>
      <c r="CR66">
        <v>3.2978727252147202E-3</v>
      </c>
      <c r="CS66">
        <v>3.9420115020731535E-3</v>
      </c>
      <c r="CT66">
        <v>4.7426349194370585E-3</v>
      </c>
      <c r="CU66">
        <v>5.7463456676416528E-3</v>
      </c>
      <c r="CV66">
        <v>7.1578727183373748E-3</v>
      </c>
      <c r="CX66">
        <v>0.55087856231571108</v>
      </c>
      <c r="CY66">
        <v>0.34668937045885412</v>
      </c>
      <c r="CZ66">
        <v>0.21316909634080855</v>
      </c>
      <c r="DA66">
        <v>0.13129910336962397</v>
      </c>
      <c r="DB66">
        <v>7.9988633802152473E-2</v>
      </c>
      <c r="DC66">
        <v>4.6845610899614719E-2</v>
      </c>
      <c r="DD66">
        <v>2.7919125917665207E-2</v>
      </c>
      <c r="DE66">
        <v>2.0245101915416133E-2</v>
      </c>
      <c r="DF66">
        <v>1.4752763541320104E-2</v>
      </c>
      <c r="DH66">
        <v>0.68326672534663613</v>
      </c>
      <c r="DI66">
        <v>0.43218606722909247</v>
      </c>
      <c r="DJ66">
        <v>0.27121489676904675</v>
      </c>
      <c r="DK66">
        <v>0.16723959860397331</v>
      </c>
      <c r="DL66">
        <v>0.10069371598940885</v>
      </c>
      <c r="DM66">
        <v>5.8827815393081712E-2</v>
      </c>
      <c r="DN66">
        <v>3.5610858781607635E-2</v>
      </c>
      <c r="DO66">
        <v>2.5672662291796745E-2</v>
      </c>
      <c r="DP66">
        <v>1.8622306359926549E-2</v>
      </c>
      <c r="DR66">
        <v>12.202428607605755</v>
      </c>
      <c r="DS66">
        <v>10.464994743127027</v>
      </c>
      <c r="DT66">
        <v>7.3097758627391398</v>
      </c>
      <c r="DU66">
        <v>4.9283101603981176</v>
      </c>
      <c r="DV66">
        <v>3.5339159774678692</v>
      </c>
      <c r="DW66">
        <v>2.5387330144393614</v>
      </c>
      <c r="DX66">
        <v>1.9068236451555145</v>
      </c>
      <c r="DY66">
        <v>1.446429506403714</v>
      </c>
      <c r="DZ66">
        <v>1.0740751608951866</v>
      </c>
      <c r="EB66">
        <v>9.8938935758936779</v>
      </c>
      <c r="EC66">
        <v>7.910035362461656</v>
      </c>
      <c r="ED66">
        <v>6.1388066390442262</v>
      </c>
      <c r="EE66">
        <v>5.0379612226639043</v>
      </c>
      <c r="EF66">
        <v>3.9945325399668481</v>
      </c>
      <c r="EG66">
        <v>3.0097297871347308</v>
      </c>
      <c r="EH66">
        <v>2.3125365774418483</v>
      </c>
      <c r="EI66">
        <v>1.7984224096962569</v>
      </c>
      <c r="EJ66">
        <v>1.3372329752225494</v>
      </c>
      <c r="EL66">
        <v>0.77538243888242997</v>
      </c>
      <c r="EM66">
        <v>1.0740751608951866</v>
      </c>
      <c r="EN66">
        <v>1.446429506403714</v>
      </c>
      <c r="EO66">
        <v>1.9068236451555145</v>
      </c>
      <c r="EP66">
        <v>2.5387330144393614</v>
      </c>
      <c r="EQ66">
        <v>3.5339159774678692</v>
      </c>
      <c r="ER66">
        <v>4.9283101603981176</v>
      </c>
      <c r="ES66">
        <v>7.3097758627391398</v>
      </c>
      <c r="ET66">
        <v>10.464994743127027</v>
      </c>
      <c r="EV66">
        <v>0.95892822316448834</v>
      </c>
      <c r="EW66">
        <v>1.3372329752225494</v>
      </c>
      <c r="EX66">
        <v>1.7984224096962569</v>
      </c>
      <c r="EY66">
        <v>2.3125365774418483</v>
      </c>
      <c r="EZ66">
        <v>3.0097297871347308</v>
      </c>
      <c r="FA66">
        <v>3.9945325399668481</v>
      </c>
      <c r="FB66">
        <v>5.0379612226639043</v>
      </c>
      <c r="FC66">
        <v>6.1388066390442262</v>
      </c>
      <c r="FD66">
        <v>7.910035362461656</v>
      </c>
      <c r="FF66">
        <v>1.0771868249661929E-2</v>
      </c>
      <c r="FG66">
        <v>1.4752763541320104E-2</v>
      </c>
      <c r="FH66">
        <v>2.0245101915416133E-2</v>
      </c>
      <c r="FI66">
        <v>2.7919125917665207E-2</v>
      </c>
      <c r="FJ66">
        <v>4.6845610899614719E-2</v>
      </c>
      <c r="FK66">
        <v>7.9988633802152473E-2</v>
      </c>
      <c r="FL66">
        <v>0.13129910336962397</v>
      </c>
      <c r="FM66">
        <v>0.21316909634080855</v>
      </c>
      <c r="FN66">
        <v>0.34668937045885412</v>
      </c>
      <c r="FP66">
        <v>1.3553311803354239E-2</v>
      </c>
      <c r="FQ66">
        <v>1.8622306359926549E-2</v>
      </c>
      <c r="FR66">
        <v>2.5672662291796745E-2</v>
      </c>
      <c r="FS66">
        <v>3.5610858781607635E-2</v>
      </c>
      <c r="FT66">
        <v>5.8827815393081712E-2</v>
      </c>
      <c r="FU66">
        <v>0.10069371598940885</v>
      </c>
      <c r="FV66">
        <v>0.16723959860397331</v>
      </c>
      <c r="FW66">
        <v>0.27121489676904675</v>
      </c>
      <c r="FX66">
        <v>0.43218606722909247</v>
      </c>
      <c r="FZ66">
        <v>1.3473962407830294E-3</v>
      </c>
      <c r="GA66">
        <v>1.5788101820676515E-3</v>
      </c>
      <c r="GB66">
        <v>1.8582740086003271E-3</v>
      </c>
      <c r="GC66">
        <v>2.1978397138884211E-3</v>
      </c>
      <c r="GD66">
        <v>2.6131643778895316E-3</v>
      </c>
      <c r="GE66">
        <v>3.1247797329101625E-3</v>
      </c>
      <c r="GF66">
        <v>3.7598823165336044E-3</v>
      </c>
      <c r="GG66">
        <v>4.5548905398750863E-3</v>
      </c>
      <c r="GH66">
        <v>5.6973539376174121E-3</v>
      </c>
      <c r="GJ66">
        <v>1.7073189720659908E-3</v>
      </c>
      <c r="GK66">
        <v>1.9978148895029588E-3</v>
      </c>
      <c r="GL66">
        <v>2.3487867069879095E-3</v>
      </c>
      <c r="GM66">
        <v>2.775510375146385E-3</v>
      </c>
      <c r="GN66">
        <v>3.2978727252147202E-3</v>
      </c>
      <c r="GO66">
        <v>3.9420115020731535E-3</v>
      </c>
      <c r="GP66">
        <v>4.7426349194370585E-3</v>
      </c>
      <c r="GQ66">
        <v>5.7463456676416528E-3</v>
      </c>
      <c r="GR66">
        <v>7.1578727183373748E-3</v>
      </c>
      <c r="GS66">
        <v>9.8663928820340568E-3</v>
      </c>
    </row>
    <row r="67" spans="2:201">
      <c r="B67">
        <v>0.68326672534663613</v>
      </c>
      <c r="C67">
        <v>0.43218606722909247</v>
      </c>
      <c r="D67">
        <v>0.27121489676904675</v>
      </c>
      <c r="E67">
        <v>0.16723959860397331</v>
      </c>
      <c r="F67">
        <v>0.10069371598940885</v>
      </c>
      <c r="G67">
        <v>5.8827815393081712E-2</v>
      </c>
      <c r="H67">
        <v>3.5610858781607635E-2</v>
      </c>
      <c r="I67">
        <v>2.5672662291796745E-2</v>
      </c>
      <c r="J67">
        <v>1.8622306359926549E-2</v>
      </c>
      <c r="L67">
        <v>0.55087856231571108</v>
      </c>
      <c r="M67">
        <v>0.34668937045885412</v>
      </c>
      <c r="N67">
        <v>0.21316909634080855</v>
      </c>
      <c r="O67">
        <v>0.13129910336962397</v>
      </c>
      <c r="P67">
        <v>7.9988633802152473E-2</v>
      </c>
      <c r="Q67">
        <v>4.6845610899614719E-2</v>
      </c>
      <c r="R67">
        <v>2.7919125917665207E-2</v>
      </c>
      <c r="S67">
        <v>2.0245101915416133E-2</v>
      </c>
      <c r="T67">
        <v>1.4752763541320104E-2</v>
      </c>
      <c r="V67">
        <v>9.8938935758936779</v>
      </c>
      <c r="W67">
        <v>7.910035362461656</v>
      </c>
      <c r="X67">
        <v>6.1388066390442262</v>
      </c>
      <c r="Y67">
        <v>5.0379612226639043</v>
      </c>
      <c r="Z67">
        <v>3.9945325399668481</v>
      </c>
      <c r="AA67">
        <v>3.0097297871347308</v>
      </c>
      <c r="AB67">
        <v>2.3125365774418483</v>
      </c>
      <c r="AC67">
        <v>1.7984224096962569</v>
      </c>
      <c r="AD67">
        <v>1.3372329752225494</v>
      </c>
      <c r="AF67">
        <v>12.202428607605755</v>
      </c>
      <c r="AG67">
        <v>10.464994743127027</v>
      </c>
      <c r="AH67">
        <v>7.3097758627391398</v>
      </c>
      <c r="AI67">
        <v>4.9283101603981176</v>
      </c>
      <c r="AJ67">
        <v>3.5339159774678692</v>
      </c>
      <c r="AK67">
        <v>2.5387330144393614</v>
      </c>
      <c r="AL67">
        <v>1.9068236451555145</v>
      </c>
      <c r="AM67">
        <v>1.446429506403714</v>
      </c>
      <c r="AN67">
        <v>1.0740751608951866</v>
      </c>
      <c r="AP67">
        <v>0.95892822316448834</v>
      </c>
      <c r="AQ67">
        <v>1.3372329752225494</v>
      </c>
      <c r="AR67">
        <v>1.7984224096962569</v>
      </c>
      <c r="AS67">
        <v>2.3125365774418483</v>
      </c>
      <c r="AT67">
        <v>3.0097297871347308</v>
      </c>
      <c r="AU67">
        <v>3.9945325399668481</v>
      </c>
      <c r="AV67">
        <v>5.0379612226639043</v>
      </c>
      <c r="AW67">
        <v>6.1388066390442262</v>
      </c>
      <c r="AX67">
        <v>7.910035362461656</v>
      </c>
      <c r="AZ67">
        <v>0.77538243888242997</v>
      </c>
      <c r="BA67">
        <v>1.0740751608951866</v>
      </c>
      <c r="BB67">
        <v>1.446429506403714</v>
      </c>
      <c r="BC67">
        <v>1.9068236451555145</v>
      </c>
      <c r="BD67">
        <v>2.5387330144393614</v>
      </c>
      <c r="BE67">
        <v>3.5339159774678692</v>
      </c>
      <c r="BF67">
        <v>4.9283101603981176</v>
      </c>
      <c r="BG67">
        <v>7.3097758627391398</v>
      </c>
      <c r="BH67">
        <v>10.464994743127027</v>
      </c>
      <c r="BJ67">
        <v>1.3553311803354239E-2</v>
      </c>
      <c r="BK67">
        <v>1.8622306359926549E-2</v>
      </c>
      <c r="BL67">
        <v>2.5672662291796745E-2</v>
      </c>
      <c r="BM67">
        <v>3.5610858781607635E-2</v>
      </c>
      <c r="BN67">
        <v>5.8827815393081712E-2</v>
      </c>
      <c r="BO67">
        <v>0.10069371598940885</v>
      </c>
      <c r="BP67">
        <v>0.16723959860397331</v>
      </c>
      <c r="BQ67">
        <v>0.27121489676904675</v>
      </c>
      <c r="BR67">
        <v>0.43218606722909247</v>
      </c>
      <c r="BT67">
        <v>1.0771868249661929E-2</v>
      </c>
      <c r="BU67">
        <v>1.4752763541320104E-2</v>
      </c>
      <c r="BV67">
        <v>2.0245101915416133E-2</v>
      </c>
      <c r="BW67">
        <v>2.7919125917665207E-2</v>
      </c>
      <c r="BX67">
        <v>4.6845610899614719E-2</v>
      </c>
      <c r="BY67">
        <v>7.9988633802152473E-2</v>
      </c>
      <c r="BZ67">
        <v>0.13129910336962397</v>
      </c>
      <c r="CA67">
        <v>0.21316909634080855</v>
      </c>
      <c r="CB67">
        <v>0.34668937045885412</v>
      </c>
      <c r="CD67">
        <v>1.7073189720659908E-3</v>
      </c>
      <c r="CE67">
        <v>1.9978148895029588E-3</v>
      </c>
      <c r="CF67">
        <v>2.3487867069879095E-3</v>
      </c>
      <c r="CG67">
        <v>2.775510375146385E-3</v>
      </c>
      <c r="CH67">
        <v>3.2978727252147202E-3</v>
      </c>
      <c r="CI67">
        <v>3.9420115020731535E-3</v>
      </c>
      <c r="CJ67">
        <v>4.7426349194370585E-3</v>
      </c>
      <c r="CK67">
        <v>5.7463456676416528E-3</v>
      </c>
      <c r="CL67">
        <v>7.1578727183373748E-3</v>
      </c>
      <c r="CN67">
        <v>1.3473962407830294E-3</v>
      </c>
      <c r="CO67">
        <v>1.5788101820676515E-3</v>
      </c>
      <c r="CP67">
        <v>1.8582740086003271E-3</v>
      </c>
      <c r="CQ67">
        <v>2.1978397138884211E-3</v>
      </c>
      <c r="CR67">
        <v>2.6131643778895316E-3</v>
      </c>
      <c r="CS67">
        <v>3.1247797329101625E-3</v>
      </c>
      <c r="CT67">
        <v>3.7598823165336044E-3</v>
      </c>
      <c r="CU67">
        <v>4.5548905398750863E-3</v>
      </c>
      <c r="CV67">
        <v>5.6973539376174121E-3</v>
      </c>
      <c r="CX67">
        <v>0.68326672534663613</v>
      </c>
      <c r="CY67">
        <v>0.43218606722909247</v>
      </c>
      <c r="CZ67">
        <v>0.27121489676904675</v>
      </c>
      <c r="DA67">
        <v>0.16723959860397331</v>
      </c>
      <c r="DB67">
        <v>0.10069371598940885</v>
      </c>
      <c r="DC67">
        <v>5.8827815393081712E-2</v>
      </c>
      <c r="DD67">
        <v>3.5610858781607635E-2</v>
      </c>
      <c r="DE67">
        <v>2.5672662291796745E-2</v>
      </c>
      <c r="DF67">
        <v>1.8622306359926549E-2</v>
      </c>
      <c r="DH67">
        <v>0.55087856231571108</v>
      </c>
      <c r="DI67">
        <v>0.34668937045885412</v>
      </c>
      <c r="DJ67">
        <v>0.21316909634080855</v>
      </c>
      <c r="DK67">
        <v>0.13129910336962397</v>
      </c>
      <c r="DL67">
        <v>7.9988633802152473E-2</v>
      </c>
      <c r="DM67">
        <v>4.6845610899614719E-2</v>
      </c>
      <c r="DN67">
        <v>2.7919125917665207E-2</v>
      </c>
      <c r="DO67">
        <v>2.0245101915416133E-2</v>
      </c>
      <c r="DP67">
        <v>1.4752763541320104E-2</v>
      </c>
      <c r="DR67">
        <v>9.8938935758936779</v>
      </c>
      <c r="DS67">
        <v>7.910035362461656</v>
      </c>
      <c r="DT67">
        <v>6.1388066390442262</v>
      </c>
      <c r="DU67">
        <v>5.0379612226639043</v>
      </c>
      <c r="DV67">
        <v>3.9945325399668481</v>
      </c>
      <c r="DW67">
        <v>3.0097297871347308</v>
      </c>
      <c r="DX67">
        <v>2.3125365774418483</v>
      </c>
      <c r="DY67">
        <v>1.7984224096962569</v>
      </c>
      <c r="DZ67">
        <v>1.3372329752225494</v>
      </c>
      <c r="EB67">
        <v>12.202428607605755</v>
      </c>
      <c r="EC67">
        <v>10.464994743127027</v>
      </c>
      <c r="ED67">
        <v>7.3097758627391398</v>
      </c>
      <c r="EE67">
        <v>4.9283101603981176</v>
      </c>
      <c r="EF67">
        <v>3.5339159774678692</v>
      </c>
      <c r="EG67">
        <v>2.5387330144393614</v>
      </c>
      <c r="EH67">
        <v>1.9068236451555145</v>
      </c>
      <c r="EI67">
        <v>1.446429506403714</v>
      </c>
      <c r="EJ67">
        <v>1.0740751608951866</v>
      </c>
      <c r="EL67">
        <v>0.95892822316448834</v>
      </c>
      <c r="EM67">
        <v>1.3372329752225494</v>
      </c>
      <c r="EN67">
        <v>1.7984224096962569</v>
      </c>
      <c r="EO67">
        <v>2.3125365774418483</v>
      </c>
      <c r="EP67">
        <v>3.0097297871347308</v>
      </c>
      <c r="EQ67">
        <v>3.9945325399668481</v>
      </c>
      <c r="ER67">
        <v>5.0379612226639043</v>
      </c>
      <c r="ES67">
        <v>6.1388066390442262</v>
      </c>
      <c r="ET67">
        <v>7.910035362461656</v>
      </c>
      <c r="EV67">
        <v>0.77538243888242997</v>
      </c>
      <c r="EW67">
        <v>1.0740751608951866</v>
      </c>
      <c r="EX67">
        <v>1.446429506403714</v>
      </c>
      <c r="EY67">
        <v>1.9068236451555145</v>
      </c>
      <c r="EZ67">
        <v>2.5387330144393614</v>
      </c>
      <c r="FA67">
        <v>3.5339159774678692</v>
      </c>
      <c r="FB67">
        <v>4.9283101603981176</v>
      </c>
      <c r="FC67">
        <v>7.3097758627391398</v>
      </c>
      <c r="FD67">
        <v>10.464994743127027</v>
      </c>
      <c r="FF67">
        <v>1.3553311803354239E-2</v>
      </c>
      <c r="FG67">
        <v>1.8622306359926549E-2</v>
      </c>
      <c r="FH67">
        <v>2.5672662291796745E-2</v>
      </c>
      <c r="FI67">
        <v>3.5610858781607635E-2</v>
      </c>
      <c r="FJ67">
        <v>5.8827815393081712E-2</v>
      </c>
      <c r="FK67">
        <v>0.10069371598940885</v>
      </c>
      <c r="FL67">
        <v>0.16723959860397331</v>
      </c>
      <c r="FM67">
        <v>0.27121489676904675</v>
      </c>
      <c r="FN67">
        <v>0.43218606722909247</v>
      </c>
      <c r="FP67">
        <v>1.0771868249661929E-2</v>
      </c>
      <c r="FQ67">
        <v>1.4752763541320104E-2</v>
      </c>
      <c r="FR67">
        <v>2.0245101915416133E-2</v>
      </c>
      <c r="FS67">
        <v>2.7919125917665207E-2</v>
      </c>
      <c r="FT67">
        <v>4.6845610899614719E-2</v>
      </c>
      <c r="FU67">
        <v>7.9988633802152473E-2</v>
      </c>
      <c r="FV67">
        <v>0.13129910336962397</v>
      </c>
      <c r="FW67">
        <v>0.21316909634080855</v>
      </c>
      <c r="FX67">
        <v>0.34668937045885412</v>
      </c>
      <c r="FZ67">
        <v>1.7073189720659908E-3</v>
      </c>
      <c r="GA67">
        <v>1.9978148895029588E-3</v>
      </c>
      <c r="GB67">
        <v>2.3487867069879095E-3</v>
      </c>
      <c r="GC67">
        <v>2.775510375146385E-3</v>
      </c>
      <c r="GD67">
        <v>3.2978727252147202E-3</v>
      </c>
      <c r="GE67">
        <v>3.9420115020731535E-3</v>
      </c>
      <c r="GF67">
        <v>4.7426349194370585E-3</v>
      </c>
      <c r="GG67">
        <v>5.7463456676416528E-3</v>
      </c>
      <c r="GH67">
        <v>7.1578727183373748E-3</v>
      </c>
      <c r="GJ67">
        <v>1.3473962407830294E-3</v>
      </c>
      <c r="GK67">
        <v>1.5788101820676515E-3</v>
      </c>
      <c r="GL67">
        <v>1.8582740086003271E-3</v>
      </c>
      <c r="GM67">
        <v>2.1978397138884211E-3</v>
      </c>
      <c r="GN67">
        <v>2.6131643778895316E-3</v>
      </c>
      <c r="GO67">
        <v>3.1247797329101625E-3</v>
      </c>
      <c r="GP67">
        <v>3.7598823165336044E-3</v>
      </c>
      <c r="GQ67">
        <v>4.5548905398750863E-3</v>
      </c>
      <c r="GR67">
        <v>5.6973539376174121E-3</v>
      </c>
      <c r="GS67">
        <v>7.8548452779851671E-3</v>
      </c>
    </row>
    <row r="68" spans="2:201">
      <c r="B68">
        <v>0.76185990346357679</v>
      </c>
      <c r="C68">
        <v>0.48526923050668136</v>
      </c>
      <c r="D68">
        <v>0.31161783404975046</v>
      </c>
      <c r="E68">
        <v>0.19460784524271588</v>
      </c>
      <c r="F68">
        <v>0.11889347379953145</v>
      </c>
      <c r="G68">
        <v>7.0366521991452227E-2</v>
      </c>
      <c r="H68">
        <v>4.3382292993405812E-2</v>
      </c>
      <c r="I68">
        <v>3.0714395902290071E-2</v>
      </c>
      <c r="J68">
        <v>2.1899551492129948E-2</v>
      </c>
      <c r="L68">
        <v>0.44289004514700636</v>
      </c>
      <c r="M68">
        <v>0.27877929232276827</v>
      </c>
      <c r="N68">
        <v>0.1703473110850782</v>
      </c>
      <c r="O68">
        <v>0.10526687269792595</v>
      </c>
      <c r="P68">
        <v>6.4812653336394327E-2</v>
      </c>
      <c r="Q68">
        <v>3.8219836855207488E-2</v>
      </c>
      <c r="R68">
        <v>2.2840283956226264E-2</v>
      </c>
      <c r="S68">
        <v>1.6704606751033298E-2</v>
      </c>
      <c r="T68">
        <v>1.2260998038902767E-2</v>
      </c>
      <c r="V68">
        <v>8.6822297117703222</v>
      </c>
      <c r="W68">
        <v>6.5593929344560937</v>
      </c>
      <c r="X68">
        <v>5.002913375314014</v>
      </c>
      <c r="Y68">
        <v>4.2751137972385429</v>
      </c>
      <c r="Z68">
        <v>3.7929171602352074</v>
      </c>
      <c r="AA68">
        <v>3.0999973377297256</v>
      </c>
      <c r="AB68">
        <v>2.4826802925095866</v>
      </c>
      <c r="AC68">
        <v>1.9386989503795007</v>
      </c>
      <c r="AD68">
        <v>1.4372441345984881</v>
      </c>
      <c r="AF68">
        <v>12.36593804810917</v>
      </c>
      <c r="AG68">
        <v>9.6378023693742119</v>
      </c>
      <c r="AH68">
        <v>6.4731805539578966</v>
      </c>
      <c r="AI68">
        <v>4.4296281661330887</v>
      </c>
      <c r="AJ68">
        <v>3.074349919351369</v>
      </c>
      <c r="AK68">
        <v>2.1442099935475465</v>
      </c>
      <c r="AL68">
        <v>1.5862911854481236</v>
      </c>
      <c r="AM68">
        <v>1.1900345024362899</v>
      </c>
      <c r="AN68">
        <v>0.87606912157978722</v>
      </c>
      <c r="AP68">
        <v>1.0429713000561351</v>
      </c>
      <c r="AQ68">
        <v>1.4372441345984881</v>
      </c>
      <c r="AR68">
        <v>1.9386989503795007</v>
      </c>
      <c r="AS68">
        <v>2.4826802925095866</v>
      </c>
      <c r="AT68">
        <v>3.0999973377297256</v>
      </c>
      <c r="AU68">
        <v>3.7929171602352074</v>
      </c>
      <c r="AV68">
        <v>4.2751137972385429</v>
      </c>
      <c r="AW68">
        <v>5.002913375314014</v>
      </c>
      <c r="AX68">
        <v>6.5593929344560937</v>
      </c>
      <c r="AZ68">
        <v>0.62814422870607411</v>
      </c>
      <c r="BA68">
        <v>0.87606912157978722</v>
      </c>
      <c r="BB68">
        <v>1.1900345024362899</v>
      </c>
      <c r="BC68">
        <v>1.5862911854481236</v>
      </c>
      <c r="BD68">
        <v>2.1442099935475465</v>
      </c>
      <c r="BE68">
        <v>3.074349919351369</v>
      </c>
      <c r="BF68">
        <v>4.4296281661330887</v>
      </c>
      <c r="BG68">
        <v>6.4731805539578966</v>
      </c>
      <c r="BH68">
        <v>9.6378023693742119</v>
      </c>
      <c r="BJ68">
        <v>1.5679723075413363E-2</v>
      </c>
      <c r="BK68">
        <v>2.1899551492129948E-2</v>
      </c>
      <c r="BL68">
        <v>3.0714395902290071E-2</v>
      </c>
      <c r="BM68">
        <v>4.3382292993405812E-2</v>
      </c>
      <c r="BN68">
        <v>7.0366521991452227E-2</v>
      </c>
      <c r="BO68">
        <v>0.11889347379953145</v>
      </c>
      <c r="BP68">
        <v>0.19460784524271588</v>
      </c>
      <c r="BQ68">
        <v>0.31161783404975046</v>
      </c>
      <c r="BR68">
        <v>0.48526923050668136</v>
      </c>
      <c r="BT68">
        <v>9.0058434170370572E-3</v>
      </c>
      <c r="BU68">
        <v>1.2260998038902767E-2</v>
      </c>
      <c r="BV68">
        <v>1.6704606751033298E-2</v>
      </c>
      <c r="BW68">
        <v>2.2840283956226264E-2</v>
      </c>
      <c r="BX68">
        <v>3.8219836855207488E-2</v>
      </c>
      <c r="BY68">
        <v>6.4812653336394327E-2</v>
      </c>
      <c r="BZ68">
        <v>0.10526687269792595</v>
      </c>
      <c r="CA68">
        <v>0.1703473110850782</v>
      </c>
      <c r="CB68">
        <v>0.27877929232276827</v>
      </c>
      <c r="CD68">
        <v>1.941859752201188E-3</v>
      </c>
      <c r="CE68">
        <v>2.2704062631531976E-3</v>
      </c>
      <c r="CF68">
        <v>2.6673182991069052E-3</v>
      </c>
      <c r="CG68">
        <v>3.1498843274212224E-3</v>
      </c>
      <c r="CH68">
        <v>3.740619058317764E-3</v>
      </c>
      <c r="CI68">
        <v>4.4691248230175349E-3</v>
      </c>
      <c r="CJ68">
        <v>5.3747248108631275E-3</v>
      </c>
      <c r="CK68">
        <v>6.5102372705471423E-3</v>
      </c>
      <c r="CL68">
        <v>8.0657365849194397E-3</v>
      </c>
      <c r="CN68">
        <v>1.1416624341668727E-3</v>
      </c>
      <c r="CO68">
        <v>1.3380237810670557E-3</v>
      </c>
      <c r="CP68">
        <v>1.5748173272117751E-3</v>
      </c>
      <c r="CQ68">
        <v>1.8620586093341467E-3</v>
      </c>
      <c r="CR68">
        <v>2.2127147366433376E-3</v>
      </c>
      <c r="CS68">
        <v>2.6437265614602102E-3</v>
      </c>
      <c r="CT68">
        <v>3.1774423704222098E-3</v>
      </c>
      <c r="CU68">
        <v>3.8436539714380795E-3</v>
      </c>
      <c r="CV68">
        <v>4.8009362014461007E-3</v>
      </c>
      <c r="CX68">
        <v>0.76185990346357679</v>
      </c>
      <c r="CY68">
        <v>0.48526923050668136</v>
      </c>
      <c r="CZ68">
        <v>0.31161783404975046</v>
      </c>
      <c r="DA68">
        <v>0.19460784524271588</v>
      </c>
      <c r="DB68">
        <v>0.11889347379953145</v>
      </c>
      <c r="DC68">
        <v>7.0366521991452227E-2</v>
      </c>
      <c r="DD68">
        <v>4.3382292993405812E-2</v>
      </c>
      <c r="DE68">
        <v>3.0714395902290071E-2</v>
      </c>
      <c r="DF68">
        <v>2.1899551492129948E-2</v>
      </c>
      <c r="DH68">
        <v>0.44289004514700636</v>
      </c>
      <c r="DI68">
        <v>0.27877929232276827</v>
      </c>
      <c r="DJ68">
        <v>0.1703473110850782</v>
      </c>
      <c r="DK68">
        <v>0.10526687269792595</v>
      </c>
      <c r="DL68">
        <v>6.4812653336394327E-2</v>
      </c>
      <c r="DM68">
        <v>3.8219836855207488E-2</v>
      </c>
      <c r="DN68">
        <v>2.2840283956226264E-2</v>
      </c>
      <c r="DO68">
        <v>1.6704606751033298E-2</v>
      </c>
      <c r="DP68">
        <v>1.2260998038902767E-2</v>
      </c>
      <c r="DR68">
        <v>8.6822297117703222</v>
      </c>
      <c r="DS68">
        <v>6.5593929344560937</v>
      </c>
      <c r="DT68">
        <v>5.002913375314014</v>
      </c>
      <c r="DU68">
        <v>4.2751137972385429</v>
      </c>
      <c r="DV68">
        <v>3.7929171602352074</v>
      </c>
      <c r="DW68">
        <v>3.0999973377297256</v>
      </c>
      <c r="DX68">
        <v>2.4826802925095866</v>
      </c>
      <c r="DY68">
        <v>1.9386989503795007</v>
      </c>
      <c r="DZ68">
        <v>1.4372441345984881</v>
      </c>
      <c r="EB68">
        <v>12.36593804810917</v>
      </c>
      <c r="EC68">
        <v>9.6378023693742119</v>
      </c>
      <c r="ED68">
        <v>6.4731805539578966</v>
      </c>
      <c r="EE68">
        <v>4.4296281661330887</v>
      </c>
      <c r="EF68">
        <v>3.074349919351369</v>
      </c>
      <c r="EG68">
        <v>2.1442099935475465</v>
      </c>
      <c r="EH68">
        <v>1.5862911854481236</v>
      </c>
      <c r="EI68">
        <v>1.1900345024362899</v>
      </c>
      <c r="EJ68">
        <v>0.87606912157978722</v>
      </c>
      <c r="EL68">
        <v>1.0429713000561351</v>
      </c>
      <c r="EM68">
        <v>1.4372441345984881</v>
      </c>
      <c r="EN68">
        <v>1.9386989503795007</v>
      </c>
      <c r="EO68">
        <v>2.4826802925095866</v>
      </c>
      <c r="EP68">
        <v>3.0999973377297256</v>
      </c>
      <c r="EQ68">
        <v>3.7929171602352074</v>
      </c>
      <c r="ER68">
        <v>4.2751137972385429</v>
      </c>
      <c r="ES68">
        <v>5.002913375314014</v>
      </c>
      <c r="ET68">
        <v>6.5593929344560937</v>
      </c>
      <c r="EV68">
        <v>0.62814422870607411</v>
      </c>
      <c r="EW68">
        <v>0.87606912157978722</v>
      </c>
      <c r="EX68">
        <v>1.1900345024362899</v>
      </c>
      <c r="EY68">
        <v>1.5862911854481236</v>
      </c>
      <c r="EZ68">
        <v>2.1442099935475465</v>
      </c>
      <c r="FA68">
        <v>3.074349919351369</v>
      </c>
      <c r="FB68">
        <v>4.4296281661330887</v>
      </c>
      <c r="FC68">
        <v>6.4731805539578966</v>
      </c>
      <c r="FD68">
        <v>9.6378023693742119</v>
      </c>
      <c r="FF68">
        <v>1.5679723075413363E-2</v>
      </c>
      <c r="FG68">
        <v>2.1899551492129948E-2</v>
      </c>
      <c r="FH68">
        <v>3.0714395902290071E-2</v>
      </c>
      <c r="FI68">
        <v>4.3382292993405812E-2</v>
      </c>
      <c r="FJ68">
        <v>7.0366521991452227E-2</v>
      </c>
      <c r="FK68">
        <v>0.11889347379953145</v>
      </c>
      <c r="FL68">
        <v>0.19460784524271588</v>
      </c>
      <c r="FM68">
        <v>0.31161783404975046</v>
      </c>
      <c r="FN68">
        <v>0.48526923050668136</v>
      </c>
      <c r="FP68">
        <v>9.0058434170370572E-3</v>
      </c>
      <c r="FQ68">
        <v>1.2260998038902767E-2</v>
      </c>
      <c r="FR68">
        <v>1.6704606751033298E-2</v>
      </c>
      <c r="FS68">
        <v>2.2840283956226264E-2</v>
      </c>
      <c r="FT68">
        <v>3.8219836855207488E-2</v>
      </c>
      <c r="FU68">
        <v>6.4812653336394327E-2</v>
      </c>
      <c r="FV68">
        <v>0.10526687269792595</v>
      </c>
      <c r="FW68">
        <v>0.1703473110850782</v>
      </c>
      <c r="FX68">
        <v>0.27877929232276827</v>
      </c>
      <c r="FZ68">
        <v>1.941859752201188E-3</v>
      </c>
      <c r="GA68">
        <v>2.2704062631531976E-3</v>
      </c>
      <c r="GB68">
        <v>2.6673182991069052E-3</v>
      </c>
      <c r="GC68">
        <v>3.1498843274212224E-3</v>
      </c>
      <c r="GD68">
        <v>3.740619058317764E-3</v>
      </c>
      <c r="GE68">
        <v>4.4691248230175349E-3</v>
      </c>
      <c r="GF68">
        <v>5.3747248108631275E-3</v>
      </c>
      <c r="GG68">
        <v>6.5102372705471423E-3</v>
      </c>
      <c r="GH68">
        <v>8.0657365849194397E-3</v>
      </c>
      <c r="GJ68">
        <v>1.1416624341668727E-3</v>
      </c>
      <c r="GK68">
        <v>1.3380237810670557E-3</v>
      </c>
      <c r="GL68">
        <v>1.5748173272117751E-3</v>
      </c>
      <c r="GM68">
        <v>1.8620586093341467E-3</v>
      </c>
      <c r="GN68">
        <v>2.2127147366433376E-3</v>
      </c>
      <c r="GO68">
        <v>2.6437265614602102E-3</v>
      </c>
      <c r="GP68">
        <v>3.1774423704222098E-3</v>
      </c>
      <c r="GQ68">
        <v>3.8436539714380795E-3</v>
      </c>
      <c r="GR68">
        <v>4.8009362014461007E-3</v>
      </c>
      <c r="GS68">
        <v>6.5976409020634995E-3</v>
      </c>
    </row>
    <row r="69" spans="2:201">
      <c r="B69">
        <v>0.75485892780893904</v>
      </c>
      <c r="C69">
        <v>0.50271818116299738</v>
      </c>
      <c r="D69">
        <v>0.33724043055891673</v>
      </c>
      <c r="E69">
        <v>0.2168813764493574</v>
      </c>
      <c r="F69">
        <v>0.13470789146638101</v>
      </c>
      <c r="G69">
        <v>8.1144578907243692E-2</v>
      </c>
      <c r="H69">
        <v>5.168493919093442E-2</v>
      </c>
      <c r="I69">
        <v>3.6636877762543658E-2</v>
      </c>
      <c r="J69">
        <v>2.6159870122330422E-2</v>
      </c>
      <c r="L69">
        <v>0.28982127718330675</v>
      </c>
      <c r="M69">
        <v>0.18928812261489952</v>
      </c>
      <c r="N69">
        <v>0.11984363171528821</v>
      </c>
      <c r="O69">
        <v>7.6874735535179858E-2</v>
      </c>
      <c r="P69">
        <v>4.9146176727607307E-2</v>
      </c>
      <c r="Q69">
        <v>3.008772462060047E-2</v>
      </c>
      <c r="R69">
        <v>1.8711688267300727E-2</v>
      </c>
      <c r="S69">
        <v>1.3927459287875772E-2</v>
      </c>
      <c r="T69">
        <v>1.038872369095181E-2</v>
      </c>
      <c r="V69">
        <v>6.8127427536639917</v>
      </c>
      <c r="W69">
        <v>5.3450578514357199</v>
      </c>
      <c r="X69">
        <v>3.959077810108897</v>
      </c>
      <c r="Y69">
        <v>3.2644300671725848</v>
      </c>
      <c r="Z69">
        <v>3.143852851108619</v>
      </c>
      <c r="AA69">
        <v>2.8216510393723748</v>
      </c>
      <c r="AB69">
        <v>2.3685219725395896</v>
      </c>
      <c r="AC69">
        <v>1.8894640039937314</v>
      </c>
      <c r="AD69">
        <v>1.4402012124759451</v>
      </c>
      <c r="AF69">
        <v>9.5742013219832032</v>
      </c>
      <c r="AG69">
        <v>6.4935000770219498</v>
      </c>
      <c r="AH69">
        <v>4.2686572338301643</v>
      </c>
      <c r="AI69">
        <v>3.2465452327715409</v>
      </c>
      <c r="AJ69">
        <v>2.2454556106974888</v>
      </c>
      <c r="AK69">
        <v>1.5208067686830957</v>
      </c>
      <c r="AL69">
        <v>1.0910360546794957</v>
      </c>
      <c r="AM69">
        <v>0.79647263158085568</v>
      </c>
      <c r="AN69">
        <v>0.56834195506953389</v>
      </c>
      <c r="AP69">
        <v>1.0502207483247057</v>
      </c>
      <c r="AQ69">
        <v>1.4402012124759451</v>
      </c>
      <c r="AR69">
        <v>1.8894640039937314</v>
      </c>
      <c r="AS69">
        <v>2.3685219725395896</v>
      </c>
      <c r="AT69">
        <v>2.8216510393723748</v>
      </c>
      <c r="AU69">
        <v>3.143852851108619</v>
      </c>
      <c r="AV69">
        <v>3.2644300671725848</v>
      </c>
      <c r="AW69">
        <v>3.959077810108897</v>
      </c>
      <c r="AX69">
        <v>5.3450578514357199</v>
      </c>
      <c r="AZ69">
        <v>0.40588619744726556</v>
      </c>
      <c r="BA69">
        <v>0.56834195506953389</v>
      </c>
      <c r="BB69">
        <v>0.79647263158085568</v>
      </c>
      <c r="BC69">
        <v>1.0910360546794957</v>
      </c>
      <c r="BD69">
        <v>1.5208067686830957</v>
      </c>
      <c r="BE69">
        <v>2.2454556106974888</v>
      </c>
      <c r="BF69">
        <v>3.2465452327715409</v>
      </c>
      <c r="BG69">
        <v>4.2686572338301643</v>
      </c>
      <c r="BH69">
        <v>6.4935000770219498</v>
      </c>
      <c r="BJ69">
        <v>1.876475791229806E-2</v>
      </c>
      <c r="BK69">
        <v>2.6159870122330422E-2</v>
      </c>
      <c r="BL69">
        <v>3.6636877762543658E-2</v>
      </c>
      <c r="BM69">
        <v>5.168493919093442E-2</v>
      </c>
      <c r="BN69">
        <v>8.1144578907243692E-2</v>
      </c>
      <c r="BO69">
        <v>0.13470789146638101</v>
      </c>
      <c r="BP69">
        <v>0.2168813764493574</v>
      </c>
      <c r="BQ69">
        <v>0.33724043055891673</v>
      </c>
      <c r="BR69">
        <v>0.50271818116299738</v>
      </c>
      <c r="BT69">
        <v>7.7473087324595458E-3</v>
      </c>
      <c r="BU69">
        <v>1.038872369095181E-2</v>
      </c>
      <c r="BV69">
        <v>1.3927459287875772E-2</v>
      </c>
      <c r="BW69">
        <v>1.8711688267300727E-2</v>
      </c>
      <c r="BX69">
        <v>3.008772462060047E-2</v>
      </c>
      <c r="BY69">
        <v>4.9146176727607307E-2</v>
      </c>
      <c r="BZ69">
        <v>7.6874735535179858E-2</v>
      </c>
      <c r="CA69">
        <v>0.11984363171528821</v>
      </c>
      <c r="CB69">
        <v>0.18928812261489952</v>
      </c>
      <c r="CD69">
        <v>2.1708536098926897E-3</v>
      </c>
      <c r="CE69">
        <v>2.5360827856124851E-3</v>
      </c>
      <c r="CF69">
        <v>2.9847652962974591E-3</v>
      </c>
      <c r="CG69">
        <v>3.5593880373018115E-3</v>
      </c>
      <c r="CH69">
        <v>4.2731124899662949E-3</v>
      </c>
      <c r="CI69">
        <v>5.1670179277897473E-3</v>
      </c>
      <c r="CJ69">
        <v>6.2966695776751043E-3</v>
      </c>
      <c r="CK69">
        <v>7.7381229975671713E-3</v>
      </c>
      <c r="CL69">
        <v>9.6697590948892631E-3</v>
      </c>
      <c r="CN69">
        <v>1.0480922063518575E-3</v>
      </c>
      <c r="CO69">
        <v>1.2247688949978E-3</v>
      </c>
      <c r="CP69">
        <v>1.4369562670392252E-3</v>
      </c>
      <c r="CQ69">
        <v>1.6932138254710405E-3</v>
      </c>
      <c r="CR69">
        <v>2.004547743571171E-3</v>
      </c>
      <c r="CS69">
        <v>2.3852297415284515E-3</v>
      </c>
      <c r="CT69">
        <v>2.8539332101310644E-3</v>
      </c>
      <c r="CU69">
        <v>3.4353274448485783E-3</v>
      </c>
      <c r="CV69">
        <v>4.2538378606635117E-3</v>
      </c>
      <c r="CX69">
        <v>0.75485892780893904</v>
      </c>
      <c r="CY69">
        <v>0.50271818116299738</v>
      </c>
      <c r="CZ69">
        <v>0.33724043055891673</v>
      </c>
      <c r="DA69">
        <v>0.2168813764493574</v>
      </c>
      <c r="DB69">
        <v>0.13470789146638101</v>
      </c>
      <c r="DC69">
        <v>8.1144578907243692E-2</v>
      </c>
      <c r="DD69">
        <v>5.168493919093442E-2</v>
      </c>
      <c r="DE69">
        <v>3.6636877762543658E-2</v>
      </c>
      <c r="DF69">
        <v>2.6159870122330422E-2</v>
      </c>
      <c r="DH69">
        <v>0.28982127718330675</v>
      </c>
      <c r="DI69">
        <v>0.18928812261489952</v>
      </c>
      <c r="DJ69">
        <v>0.11984363171528821</v>
      </c>
      <c r="DK69">
        <v>7.6874735535179858E-2</v>
      </c>
      <c r="DL69">
        <v>4.9146176727607307E-2</v>
      </c>
      <c r="DM69">
        <v>3.008772462060047E-2</v>
      </c>
      <c r="DN69">
        <v>1.8711688267300727E-2</v>
      </c>
      <c r="DO69">
        <v>1.3927459287875772E-2</v>
      </c>
      <c r="DP69">
        <v>1.038872369095181E-2</v>
      </c>
      <c r="DR69">
        <v>6.8127427536639917</v>
      </c>
      <c r="DS69">
        <v>5.3450578514357199</v>
      </c>
      <c r="DT69">
        <v>3.959077810108897</v>
      </c>
      <c r="DU69">
        <v>3.2644300671725848</v>
      </c>
      <c r="DV69">
        <v>3.143852851108619</v>
      </c>
      <c r="DW69">
        <v>2.8216510393723748</v>
      </c>
      <c r="DX69">
        <v>2.3685219725395896</v>
      </c>
      <c r="DY69">
        <v>1.8894640039937314</v>
      </c>
      <c r="DZ69">
        <v>1.4402012124759451</v>
      </c>
      <c r="EB69">
        <v>9.5742013219832032</v>
      </c>
      <c r="EC69">
        <v>6.4935000770219498</v>
      </c>
      <c r="ED69">
        <v>4.2686572338301643</v>
      </c>
      <c r="EE69">
        <v>3.2465452327715409</v>
      </c>
      <c r="EF69">
        <v>2.2454556106974888</v>
      </c>
      <c r="EG69">
        <v>1.5208067686830957</v>
      </c>
      <c r="EH69">
        <v>1.0910360546794957</v>
      </c>
      <c r="EI69">
        <v>0.79647263158085568</v>
      </c>
      <c r="EJ69">
        <v>0.56834195506953389</v>
      </c>
      <c r="EL69">
        <v>1.0502207483247057</v>
      </c>
      <c r="EM69">
        <v>1.4402012124759451</v>
      </c>
      <c r="EN69">
        <v>1.8894640039937314</v>
      </c>
      <c r="EO69">
        <v>2.3685219725395896</v>
      </c>
      <c r="EP69">
        <v>2.8216510393723748</v>
      </c>
      <c r="EQ69">
        <v>3.143852851108619</v>
      </c>
      <c r="ER69">
        <v>3.2644300671725848</v>
      </c>
      <c r="ES69">
        <v>3.959077810108897</v>
      </c>
      <c r="ET69">
        <v>5.3450578514357199</v>
      </c>
      <c r="EV69">
        <v>0.40588619744726556</v>
      </c>
      <c r="EW69">
        <v>0.56834195506953389</v>
      </c>
      <c r="EX69">
        <v>0.79647263158085568</v>
      </c>
      <c r="EY69">
        <v>1.0910360546794957</v>
      </c>
      <c r="EZ69">
        <v>1.5208067686830957</v>
      </c>
      <c r="FA69">
        <v>2.2454556106974888</v>
      </c>
      <c r="FB69">
        <v>3.2465452327715409</v>
      </c>
      <c r="FC69">
        <v>4.2686572338301643</v>
      </c>
      <c r="FD69">
        <v>6.4935000770219498</v>
      </c>
      <c r="FF69">
        <v>1.876475791229806E-2</v>
      </c>
      <c r="FG69">
        <v>2.6159870122330422E-2</v>
      </c>
      <c r="FH69">
        <v>3.6636877762543658E-2</v>
      </c>
      <c r="FI69">
        <v>5.168493919093442E-2</v>
      </c>
      <c r="FJ69">
        <v>8.1144578907243692E-2</v>
      </c>
      <c r="FK69">
        <v>0.13470789146638101</v>
      </c>
      <c r="FL69">
        <v>0.2168813764493574</v>
      </c>
      <c r="FM69">
        <v>0.33724043055891673</v>
      </c>
      <c r="FN69">
        <v>0.50271818116299738</v>
      </c>
      <c r="FP69">
        <v>7.7473087324595458E-3</v>
      </c>
      <c r="FQ69">
        <v>1.038872369095181E-2</v>
      </c>
      <c r="FR69">
        <v>1.3927459287875772E-2</v>
      </c>
      <c r="FS69">
        <v>1.8711688267300727E-2</v>
      </c>
      <c r="FT69">
        <v>3.008772462060047E-2</v>
      </c>
      <c r="FU69">
        <v>4.9146176727607307E-2</v>
      </c>
      <c r="FV69">
        <v>7.6874735535179858E-2</v>
      </c>
      <c r="FW69">
        <v>0.11984363171528821</v>
      </c>
      <c r="FX69">
        <v>0.18928812261489952</v>
      </c>
      <c r="FZ69">
        <v>2.1708536098926897E-3</v>
      </c>
      <c r="GA69">
        <v>2.5360827856124851E-3</v>
      </c>
      <c r="GB69">
        <v>2.9847652962974591E-3</v>
      </c>
      <c r="GC69">
        <v>3.5593880373018115E-3</v>
      </c>
      <c r="GD69">
        <v>4.2731124899662949E-3</v>
      </c>
      <c r="GE69">
        <v>5.1670179277897473E-3</v>
      </c>
      <c r="GF69">
        <v>6.2966695776751043E-3</v>
      </c>
      <c r="GG69">
        <v>7.7381229975671713E-3</v>
      </c>
      <c r="GH69">
        <v>9.6697590948892631E-3</v>
      </c>
      <c r="GJ69">
        <v>1.0480922063518575E-3</v>
      </c>
      <c r="GK69">
        <v>1.2247688949978E-3</v>
      </c>
      <c r="GL69">
        <v>1.4369562670392252E-3</v>
      </c>
      <c r="GM69">
        <v>1.6932138254710405E-3</v>
      </c>
      <c r="GN69">
        <v>2.004547743571171E-3</v>
      </c>
      <c r="GO69">
        <v>2.3852297415284515E-3</v>
      </c>
      <c r="GP69">
        <v>2.8539332101310644E-3</v>
      </c>
      <c r="GQ69">
        <v>3.4353274448485783E-3</v>
      </c>
      <c r="GR69">
        <v>4.2538378606635117E-3</v>
      </c>
      <c r="GS69">
        <v>5.759794737871529E-3</v>
      </c>
    </row>
    <row r="70" spans="2:201">
      <c r="B70">
        <v>0.72604721649228876</v>
      </c>
      <c r="C70">
        <v>0.50335783134589085</v>
      </c>
      <c r="D70">
        <v>0.34433008122175374</v>
      </c>
      <c r="E70">
        <v>0.22386503019458356</v>
      </c>
      <c r="F70">
        <v>0.14340510411235052</v>
      </c>
      <c r="G70">
        <v>8.9315428724911494E-2</v>
      </c>
      <c r="H70">
        <v>5.9058149087627576E-2</v>
      </c>
      <c r="I70">
        <v>4.2029386798517088E-2</v>
      </c>
      <c r="J70">
        <v>3.0068153386751218E-2</v>
      </c>
      <c r="L70">
        <v>0.17262646029176718</v>
      </c>
      <c r="M70">
        <v>0.11759009798923742</v>
      </c>
      <c r="N70">
        <v>7.6927492569757408E-2</v>
      </c>
      <c r="O70">
        <v>5.0973417633638662E-2</v>
      </c>
      <c r="P70">
        <v>3.3693441230658386E-2</v>
      </c>
      <c r="Q70">
        <v>2.1909460818550937E-2</v>
      </c>
      <c r="R70">
        <v>1.4547686139127183E-2</v>
      </c>
      <c r="S70">
        <v>1.1120951347040425E-2</v>
      </c>
      <c r="T70">
        <v>8.4928933046624234E-3</v>
      </c>
      <c r="V70">
        <v>4.8167753063539864</v>
      </c>
      <c r="W70">
        <v>4.0654885048932652</v>
      </c>
      <c r="X70">
        <v>3.1957659233538944</v>
      </c>
      <c r="Y70">
        <v>2.5153250802183007</v>
      </c>
      <c r="Z70">
        <v>2.3134199059863709</v>
      </c>
      <c r="AA70">
        <v>2.2916734461758934</v>
      </c>
      <c r="AB70">
        <v>2.0750254562651294</v>
      </c>
      <c r="AC70">
        <v>1.6949328304130973</v>
      </c>
      <c r="AD70">
        <v>1.3399805579442094</v>
      </c>
      <c r="AF70">
        <v>2.7863259212986282</v>
      </c>
      <c r="AG70">
        <v>1.9862881402213457</v>
      </c>
      <c r="AH70">
        <v>1.6150628331886667</v>
      </c>
      <c r="AI70">
        <v>1.643041749962187</v>
      </c>
      <c r="AJ70">
        <v>1.1560573948167805</v>
      </c>
      <c r="AK70">
        <v>0.74910078743172659</v>
      </c>
      <c r="AL70">
        <v>0.55545516201611855</v>
      </c>
      <c r="AM70">
        <v>0.40232643675960639</v>
      </c>
      <c r="AN70">
        <v>0.31249311073496272</v>
      </c>
      <c r="AP70">
        <v>0.98722214273810072</v>
      </c>
      <c r="AQ70">
        <v>1.3399805579442094</v>
      </c>
      <c r="AR70">
        <v>1.6949328304130973</v>
      </c>
      <c r="AS70">
        <v>2.0750254562651294</v>
      </c>
      <c r="AT70">
        <v>2.2916734461758934</v>
      </c>
      <c r="AU70">
        <v>2.3134199059863709</v>
      </c>
      <c r="AV70">
        <v>2.5153250802183007</v>
      </c>
      <c r="AW70">
        <v>3.1957659233538944</v>
      </c>
      <c r="AX70">
        <v>4.0654885048932652</v>
      </c>
      <c r="AZ70">
        <v>0.23506568485838708</v>
      </c>
      <c r="BA70">
        <v>0.31249311073496272</v>
      </c>
      <c r="BB70">
        <v>0.40232643675960639</v>
      </c>
      <c r="BC70">
        <v>0.55545516201611855</v>
      </c>
      <c r="BD70">
        <v>0.74910078743172659</v>
      </c>
      <c r="BE70">
        <v>1.1560573948167805</v>
      </c>
      <c r="BF70">
        <v>1.643041749962187</v>
      </c>
      <c r="BG70">
        <v>1.6150628331886667</v>
      </c>
      <c r="BH70">
        <v>1.9862881402213457</v>
      </c>
      <c r="BJ70">
        <v>2.1612307461123307E-2</v>
      </c>
      <c r="BK70">
        <v>3.0068153386751218E-2</v>
      </c>
      <c r="BL70">
        <v>4.2029386798517088E-2</v>
      </c>
      <c r="BM70">
        <v>5.9058149087627576E-2</v>
      </c>
      <c r="BN70">
        <v>8.9315428724911494E-2</v>
      </c>
      <c r="BO70">
        <v>0.14340510411235052</v>
      </c>
      <c r="BP70">
        <v>0.22386503019458356</v>
      </c>
      <c r="BQ70">
        <v>0.34433008122175374</v>
      </c>
      <c r="BR70">
        <v>0.50335783134589085</v>
      </c>
      <c r="BT70">
        <v>6.4702004233587219E-3</v>
      </c>
      <c r="BU70">
        <v>8.4928933046624234E-3</v>
      </c>
      <c r="BV70">
        <v>1.1120951347040425E-2</v>
      </c>
      <c r="BW70">
        <v>1.4547686139127183E-2</v>
      </c>
      <c r="BX70">
        <v>2.1909460818550937E-2</v>
      </c>
      <c r="BY70">
        <v>3.3693441230658386E-2</v>
      </c>
      <c r="BZ70">
        <v>5.0973417633638662E-2</v>
      </c>
      <c r="CA70">
        <v>7.6927492569757408E-2</v>
      </c>
      <c r="CB70">
        <v>0.11759009798923742</v>
      </c>
      <c r="CD70">
        <v>2.4840168388052248E-3</v>
      </c>
      <c r="CE70">
        <v>2.9290827283269148E-3</v>
      </c>
      <c r="CF70">
        <v>3.473878409743007E-3</v>
      </c>
      <c r="CG70">
        <v>4.1455341713512572E-3</v>
      </c>
      <c r="CH70">
        <v>4.9799518668216655E-3</v>
      </c>
      <c r="CI70">
        <v>6.0251226252856357E-3</v>
      </c>
      <c r="CJ70">
        <v>7.3458949776474417E-3</v>
      </c>
      <c r="CK70">
        <v>9.030919377787933E-3</v>
      </c>
      <c r="CL70">
        <v>1.1202907986079062E-2</v>
      </c>
      <c r="CN70">
        <v>9.5317916102531013E-4</v>
      </c>
      <c r="CO70">
        <v>1.1098707233007166E-3</v>
      </c>
      <c r="CP70">
        <v>1.2970735218638598E-3</v>
      </c>
      <c r="CQ70">
        <v>1.5218679065587091E-3</v>
      </c>
      <c r="CR70">
        <v>1.7932682852878135E-3</v>
      </c>
      <c r="CS70">
        <v>2.1228358815969768E-3</v>
      </c>
      <c r="CT70">
        <v>2.5255133689965899E-3</v>
      </c>
      <c r="CU70">
        <v>3.0207718160933472E-3</v>
      </c>
      <c r="CV70">
        <v>3.6954598400448474E-3</v>
      </c>
      <c r="CX70">
        <v>0.72604721649228876</v>
      </c>
      <c r="CY70">
        <v>0.50335783134589085</v>
      </c>
      <c r="CZ70">
        <v>0.34433008122175374</v>
      </c>
      <c r="DA70">
        <v>0.22386503019458356</v>
      </c>
      <c r="DB70">
        <v>0.14340510411235052</v>
      </c>
      <c r="DC70">
        <v>8.9315428724911494E-2</v>
      </c>
      <c r="DD70">
        <v>5.9058149087627576E-2</v>
      </c>
      <c r="DE70">
        <v>4.2029386798517088E-2</v>
      </c>
      <c r="DF70">
        <v>3.0068153386751218E-2</v>
      </c>
      <c r="DH70">
        <v>0.17262646029176718</v>
      </c>
      <c r="DI70">
        <v>0.11759009798923742</v>
      </c>
      <c r="DJ70">
        <v>7.6927492569757408E-2</v>
      </c>
      <c r="DK70">
        <v>5.0973417633638662E-2</v>
      </c>
      <c r="DL70">
        <v>3.3693441230658386E-2</v>
      </c>
      <c r="DM70">
        <v>2.1909460818550937E-2</v>
      </c>
      <c r="DN70">
        <v>1.4547686139127183E-2</v>
      </c>
      <c r="DO70">
        <v>1.1120951347040425E-2</v>
      </c>
      <c r="DP70">
        <v>8.4928933046624234E-3</v>
      </c>
      <c r="DR70">
        <v>4.8167753063539864</v>
      </c>
      <c r="DS70">
        <v>4.0654885048932652</v>
      </c>
      <c r="DT70">
        <v>3.1957659233538944</v>
      </c>
      <c r="DU70">
        <v>2.5153250802183007</v>
      </c>
      <c r="DV70">
        <v>2.3134199059863709</v>
      </c>
      <c r="DW70">
        <v>2.2916734461758934</v>
      </c>
      <c r="DX70">
        <v>2.0750254562651294</v>
      </c>
      <c r="DY70">
        <v>1.6949328304130973</v>
      </c>
      <c r="DZ70">
        <v>1.3399805579442094</v>
      </c>
      <c r="EB70">
        <v>2.7863259212986282</v>
      </c>
      <c r="EC70">
        <v>1.9862881402213457</v>
      </c>
      <c r="ED70">
        <v>1.6150628331886667</v>
      </c>
      <c r="EE70">
        <v>1.643041749962187</v>
      </c>
      <c r="EF70">
        <v>1.1560573948167805</v>
      </c>
      <c r="EG70">
        <v>0.74910078743172659</v>
      </c>
      <c r="EH70">
        <v>0.55545516201611855</v>
      </c>
      <c r="EI70">
        <v>0.40232643675960639</v>
      </c>
      <c r="EJ70">
        <v>0.31249311073496272</v>
      </c>
      <c r="EL70">
        <v>0.98722214273810072</v>
      </c>
      <c r="EM70">
        <v>1.3399805579442094</v>
      </c>
      <c r="EN70">
        <v>1.6949328304130973</v>
      </c>
      <c r="EO70">
        <v>2.0750254562651294</v>
      </c>
      <c r="EP70">
        <v>2.2916734461758934</v>
      </c>
      <c r="EQ70">
        <v>2.3134199059863709</v>
      </c>
      <c r="ER70">
        <v>2.5153250802183007</v>
      </c>
      <c r="ES70">
        <v>3.1957659233538944</v>
      </c>
      <c r="ET70">
        <v>4.0654885048932652</v>
      </c>
      <c r="EV70">
        <v>0.23506568485838708</v>
      </c>
      <c r="EW70">
        <v>0.31249311073496272</v>
      </c>
      <c r="EX70">
        <v>0.40232643675960639</v>
      </c>
      <c r="EY70">
        <v>0.55545516201611855</v>
      </c>
      <c r="EZ70">
        <v>0.74910078743172659</v>
      </c>
      <c r="FA70">
        <v>1.1560573948167805</v>
      </c>
      <c r="FB70">
        <v>1.643041749962187</v>
      </c>
      <c r="FC70">
        <v>1.6150628331886667</v>
      </c>
      <c r="FD70">
        <v>1.9862881402213457</v>
      </c>
      <c r="FF70">
        <v>2.1612307461123307E-2</v>
      </c>
      <c r="FG70">
        <v>3.0068153386751218E-2</v>
      </c>
      <c r="FH70">
        <v>4.2029386798517088E-2</v>
      </c>
      <c r="FI70">
        <v>5.9058149087627576E-2</v>
      </c>
      <c r="FJ70">
        <v>8.9315428724911494E-2</v>
      </c>
      <c r="FK70">
        <v>0.14340510411235052</v>
      </c>
      <c r="FL70">
        <v>0.22386503019458356</v>
      </c>
      <c r="FM70">
        <v>0.34433008122175374</v>
      </c>
      <c r="FN70">
        <v>0.50335783134589085</v>
      </c>
      <c r="FP70">
        <v>6.4702004233587219E-3</v>
      </c>
      <c r="FQ70">
        <v>8.4928933046624234E-3</v>
      </c>
      <c r="FR70">
        <v>1.1120951347040425E-2</v>
      </c>
      <c r="FS70">
        <v>1.4547686139127183E-2</v>
      </c>
      <c r="FT70">
        <v>2.1909460818550937E-2</v>
      </c>
      <c r="FU70">
        <v>3.3693441230658386E-2</v>
      </c>
      <c r="FV70">
        <v>5.0973417633638662E-2</v>
      </c>
      <c r="FW70">
        <v>7.6927492569757408E-2</v>
      </c>
      <c r="FX70">
        <v>0.11759009798923742</v>
      </c>
      <c r="FZ70">
        <v>2.4840168388052248E-3</v>
      </c>
      <c r="GA70">
        <v>2.9290827283269148E-3</v>
      </c>
      <c r="GB70">
        <v>3.473878409743007E-3</v>
      </c>
      <c r="GC70">
        <v>4.1455341713512572E-3</v>
      </c>
      <c r="GD70">
        <v>4.9799518668216655E-3</v>
      </c>
      <c r="GE70">
        <v>6.0251226252856357E-3</v>
      </c>
      <c r="GF70">
        <v>7.3458949776474417E-3</v>
      </c>
      <c r="GG70">
        <v>9.030919377787933E-3</v>
      </c>
      <c r="GH70">
        <v>1.1202907986079062E-2</v>
      </c>
      <c r="GJ70">
        <v>9.5317916102531013E-4</v>
      </c>
      <c r="GK70">
        <v>1.1098707233007166E-3</v>
      </c>
      <c r="GL70">
        <v>1.2970735218638598E-3</v>
      </c>
      <c r="GM70">
        <v>1.5218679065587091E-3</v>
      </c>
      <c r="GN70">
        <v>1.7932682852878135E-3</v>
      </c>
      <c r="GO70">
        <v>2.1228358815969768E-3</v>
      </c>
      <c r="GP70">
        <v>2.5255133689965899E-3</v>
      </c>
      <c r="GQ70">
        <v>3.0207718160933472E-3</v>
      </c>
      <c r="GR70">
        <v>3.6954598400448474E-3</v>
      </c>
      <c r="GS70">
        <v>4.9074390871597139E-3</v>
      </c>
    </row>
    <row r="72" spans="2:201">
      <c r="B72">
        <v>1.1236974872082604E-2</v>
      </c>
      <c r="C72">
        <v>8.3320490060536292E-3</v>
      </c>
      <c r="D72">
        <v>6.2010917817967026E-3</v>
      </c>
      <c r="E72">
        <v>4.9578231496488195E-3</v>
      </c>
      <c r="F72">
        <v>2.4553246480689705E-3</v>
      </c>
      <c r="G72">
        <v>1.6542652591178725E-4</v>
      </c>
      <c r="H72">
        <v>0</v>
      </c>
      <c r="I72">
        <v>0</v>
      </c>
      <c r="J72">
        <v>0</v>
      </c>
      <c r="L72">
        <v>4.3770615721004373E-2</v>
      </c>
      <c r="M72">
        <v>3.4952195191517869E-2</v>
      </c>
      <c r="N72">
        <v>2.8055328766445224E-2</v>
      </c>
      <c r="O72">
        <v>2.1573268963149428E-2</v>
      </c>
      <c r="P72">
        <v>7.6016121179760089E-3</v>
      </c>
      <c r="Q72">
        <v>0</v>
      </c>
      <c r="R72">
        <v>0</v>
      </c>
      <c r="S72">
        <v>0</v>
      </c>
      <c r="T72">
        <v>0</v>
      </c>
      <c r="V72">
        <v>7.7326307082223308E-2</v>
      </c>
      <c r="W72">
        <v>5.4804613998252948E-2</v>
      </c>
      <c r="X72">
        <v>4.5446976396802313E-2</v>
      </c>
      <c r="Y72">
        <v>5.3457100690871513E-2</v>
      </c>
      <c r="Z72">
        <v>4.2421449726726825E-2</v>
      </c>
      <c r="AA72">
        <v>3.0858626045905772E-2</v>
      </c>
      <c r="AB72">
        <v>2.5315859024067699E-2</v>
      </c>
      <c r="AC72">
        <v>2.0057586854477536E-2</v>
      </c>
      <c r="AD72">
        <v>1.683948278220105E-2</v>
      </c>
      <c r="AF72">
        <v>0.13620639741526175</v>
      </c>
      <c r="AG72">
        <v>0.11934649672047898</v>
      </c>
      <c r="AH72">
        <v>0.10632315824889117</v>
      </c>
      <c r="AI72">
        <v>9.005541481655345E-2</v>
      </c>
      <c r="AJ72">
        <v>8.9690115674580878E-2</v>
      </c>
      <c r="AK72">
        <v>9.9134429384028541E-2</v>
      </c>
      <c r="AL72">
        <v>9.6916279281452342E-2</v>
      </c>
      <c r="AM72">
        <v>8.6338145816287529E-2</v>
      </c>
      <c r="AN72">
        <v>7.3255772392376947E-2</v>
      </c>
      <c r="AP72">
        <v>9.283791662784166E-2</v>
      </c>
      <c r="AQ72">
        <v>0.10121027098130066</v>
      </c>
      <c r="AR72">
        <v>0.10648326312333777</v>
      </c>
      <c r="AS72">
        <v>0.12062271386843236</v>
      </c>
      <c r="AT72">
        <v>0.12791764090354565</v>
      </c>
      <c r="AU72">
        <v>0.14802163813339969</v>
      </c>
      <c r="AV72">
        <v>0.1469086187445631</v>
      </c>
      <c r="AW72">
        <v>9.8100381182020163E-2</v>
      </c>
      <c r="AX72">
        <v>8.3253302064731097E-2</v>
      </c>
      <c r="AZ72">
        <v>0.13835614276816605</v>
      </c>
      <c r="BA72">
        <v>0.16616925910672398</v>
      </c>
      <c r="BB72">
        <v>0.19472435655183337</v>
      </c>
      <c r="BC72">
        <v>0.22056141345077543</v>
      </c>
      <c r="BD72">
        <v>0.20013787947708417</v>
      </c>
      <c r="BE72">
        <v>0.16175348155102526</v>
      </c>
      <c r="BF72">
        <v>0.13316688496852483</v>
      </c>
      <c r="BG72">
        <v>0.13089132592216546</v>
      </c>
      <c r="BH72">
        <v>0.13125441129286544</v>
      </c>
      <c r="BJ72">
        <v>8.1703827503005252E-3</v>
      </c>
      <c r="BK72">
        <v>9.8287954142921557E-3</v>
      </c>
      <c r="BL72">
        <v>1.1501455573563567E-2</v>
      </c>
      <c r="BM72">
        <v>1.3642236609313404E-2</v>
      </c>
      <c r="BN72">
        <v>1.915894270044147E-2</v>
      </c>
      <c r="BO72">
        <v>2.675304380773888E-2</v>
      </c>
      <c r="BP72">
        <v>3.6043819155473902E-2</v>
      </c>
      <c r="BQ72">
        <v>4.6851595881812487E-2</v>
      </c>
      <c r="BR72">
        <v>6.1683753985767524E-2</v>
      </c>
      <c r="BT72">
        <v>8.5207852738516752E-3</v>
      </c>
      <c r="BU72">
        <v>1.0985825005219978E-2</v>
      </c>
      <c r="BV72">
        <v>1.4434032703660839E-2</v>
      </c>
      <c r="BW72">
        <v>1.9418687926266661E-2</v>
      </c>
      <c r="BX72">
        <v>2.7034936379348874E-2</v>
      </c>
      <c r="BY72">
        <v>4.0505513077782079E-2</v>
      </c>
      <c r="BZ72">
        <v>5.6580066084944376E-2</v>
      </c>
      <c r="CA72">
        <v>7.6487325493960645E-2</v>
      </c>
      <c r="CB72">
        <v>9.7226237650486061E-2</v>
      </c>
      <c r="CD72">
        <v>2.7156592814285775E-3</v>
      </c>
      <c r="CE72">
        <v>2.9658831205183265E-3</v>
      </c>
      <c r="CF72">
        <v>3.1646367479040349E-3</v>
      </c>
      <c r="CG72">
        <v>3.4138593485348958E-3</v>
      </c>
      <c r="CH72">
        <v>3.7946220463195915E-3</v>
      </c>
      <c r="CI72">
        <v>4.1872933952528035E-3</v>
      </c>
      <c r="CJ72">
        <v>4.599535179039535E-3</v>
      </c>
      <c r="CK72">
        <v>5.0346578057808697E-3</v>
      </c>
      <c r="CL72">
        <v>5.7155641155170103E-3</v>
      </c>
      <c r="CN72">
        <v>2.0036413420074176E-3</v>
      </c>
      <c r="CO72">
        <v>2.2240668474157563E-3</v>
      </c>
      <c r="CP72">
        <v>2.4397610170813835E-3</v>
      </c>
      <c r="CQ72">
        <v>2.7226599723569581E-3</v>
      </c>
      <c r="CR72">
        <v>3.192675300053014E-3</v>
      </c>
      <c r="CS72">
        <v>3.7722029414720931E-3</v>
      </c>
      <c r="CT72">
        <v>4.3411519021074804E-3</v>
      </c>
      <c r="CU72">
        <v>4.8165135925846824E-3</v>
      </c>
      <c r="CV72">
        <v>5.5125018293153086E-3</v>
      </c>
      <c r="CX72">
        <v>1.0769382397549744E-2</v>
      </c>
      <c r="CY72">
        <v>8.0421928600225949E-3</v>
      </c>
      <c r="CZ72">
        <v>6.1220893554853016E-3</v>
      </c>
      <c r="DA72">
        <v>4.9103518327499856E-3</v>
      </c>
      <c r="DB72">
        <v>2.4319602779633563E-3</v>
      </c>
      <c r="DC72">
        <v>1.6395344083067139E-4</v>
      </c>
      <c r="DD72">
        <v>0</v>
      </c>
      <c r="DE72">
        <v>0</v>
      </c>
      <c r="DF72">
        <v>0</v>
      </c>
      <c r="DH72">
        <v>4.3770615721004373E-2</v>
      </c>
      <c r="DI72">
        <v>3.4952195191517869E-2</v>
      </c>
      <c r="DJ72">
        <v>2.8055328766445224E-2</v>
      </c>
      <c r="DK72">
        <v>2.1573268963149428E-2</v>
      </c>
      <c r="DL72">
        <v>7.6016121179760089E-3</v>
      </c>
      <c r="DM72">
        <v>0</v>
      </c>
      <c r="DN72">
        <v>0</v>
      </c>
      <c r="DO72">
        <v>0</v>
      </c>
      <c r="DP72">
        <v>0</v>
      </c>
      <c r="DR72">
        <v>7.7326307082223308E-2</v>
      </c>
      <c r="DS72">
        <v>5.4804613998252948E-2</v>
      </c>
      <c r="DT72">
        <v>4.5446976396802313E-2</v>
      </c>
      <c r="DU72">
        <v>5.3457100690871513E-2</v>
      </c>
      <c r="DV72">
        <v>4.2421449726726825E-2</v>
      </c>
      <c r="DW72">
        <v>3.0858626045905772E-2</v>
      </c>
      <c r="DX72">
        <v>2.5315859024067699E-2</v>
      </c>
      <c r="DY72">
        <v>2.0057586854477536E-2</v>
      </c>
      <c r="DZ72">
        <v>1.683948278220105E-2</v>
      </c>
      <c r="EB72">
        <v>0.13620639741526175</v>
      </c>
      <c r="EC72">
        <v>0.11934649672047898</v>
      </c>
      <c r="ED72">
        <v>0.10632315824889117</v>
      </c>
      <c r="EE72">
        <v>9.005541481655345E-2</v>
      </c>
      <c r="EF72">
        <v>8.9690115674580878E-2</v>
      </c>
      <c r="EG72">
        <v>9.9134429384028541E-2</v>
      </c>
      <c r="EH72">
        <v>9.6916279281452342E-2</v>
      </c>
      <c r="EI72">
        <v>8.6338145816287529E-2</v>
      </c>
      <c r="EJ72">
        <v>7.3255772392376947E-2</v>
      </c>
      <c r="EL72">
        <v>9.283791662784166E-2</v>
      </c>
      <c r="EM72">
        <v>0.10121027098130066</v>
      </c>
      <c r="EN72">
        <v>0.10648326312333777</v>
      </c>
      <c r="EO72">
        <v>0.12062271386843236</v>
      </c>
      <c r="EP72">
        <v>0.12791764090354565</v>
      </c>
      <c r="EQ72">
        <v>0.14802163813339969</v>
      </c>
      <c r="ER72">
        <v>0.1469086187445631</v>
      </c>
      <c r="ES72">
        <v>9.8100381182020163E-2</v>
      </c>
      <c r="ET72">
        <v>8.3253302064731097E-2</v>
      </c>
      <c r="EV72">
        <v>0.13835614276816605</v>
      </c>
      <c r="EW72">
        <v>0.16616925910672398</v>
      </c>
      <c r="EX72">
        <v>0.19472435655183337</v>
      </c>
      <c r="EY72">
        <v>0.22056141345077543</v>
      </c>
      <c r="EZ72">
        <v>0.20013787947708417</v>
      </c>
      <c r="FA72">
        <v>0.16175348155102526</v>
      </c>
      <c r="FB72">
        <v>0.13316688496852483</v>
      </c>
      <c r="FC72">
        <v>0.13089132592216546</v>
      </c>
      <c r="FD72">
        <v>0.13125441129286544</v>
      </c>
      <c r="FF72">
        <v>8.1703827503005252E-3</v>
      </c>
      <c r="FG72">
        <v>9.8287954142921557E-3</v>
      </c>
      <c r="FH72">
        <v>1.1501455573563567E-2</v>
      </c>
      <c r="FI72">
        <v>1.3642236609313404E-2</v>
      </c>
      <c r="FJ72">
        <v>1.915894270044147E-2</v>
      </c>
      <c r="FK72">
        <v>2.675304380773888E-2</v>
      </c>
      <c r="FL72">
        <v>3.6043819155473902E-2</v>
      </c>
      <c r="FM72">
        <v>4.6851595881812487E-2</v>
      </c>
      <c r="FN72">
        <v>6.1683753985767524E-2</v>
      </c>
      <c r="FP72">
        <v>8.5207852738516752E-3</v>
      </c>
      <c r="FQ72">
        <v>1.0985825005219978E-2</v>
      </c>
      <c r="FR72">
        <v>1.4434032703660839E-2</v>
      </c>
      <c r="FS72">
        <v>1.9418687926266661E-2</v>
      </c>
      <c r="FT72">
        <v>2.7034936379348874E-2</v>
      </c>
      <c r="FU72">
        <v>4.0505513077782079E-2</v>
      </c>
      <c r="FV72">
        <v>5.6580066084944376E-2</v>
      </c>
      <c r="FW72">
        <v>7.6487325493960645E-2</v>
      </c>
      <c r="FX72">
        <v>9.7226237650486061E-2</v>
      </c>
      <c r="FZ72">
        <v>2.7156592814285775E-3</v>
      </c>
      <c r="GA72">
        <v>2.9658831205183265E-3</v>
      </c>
      <c r="GB72">
        <v>3.1646367479040349E-3</v>
      </c>
      <c r="GC72">
        <v>3.4138593485348958E-3</v>
      </c>
      <c r="GD72">
        <v>3.7946220463195915E-3</v>
      </c>
      <c r="GE72">
        <v>4.1872933952528035E-3</v>
      </c>
      <c r="GF72">
        <v>4.599535179039535E-3</v>
      </c>
      <c r="GG72">
        <v>5.0346578057808697E-3</v>
      </c>
      <c r="GH72">
        <v>5.7155641155170103E-3</v>
      </c>
      <c r="GJ72">
        <v>2.0036413420074176E-3</v>
      </c>
      <c r="GK72">
        <v>2.2240668474157563E-3</v>
      </c>
      <c r="GL72">
        <v>2.4397610170813835E-3</v>
      </c>
      <c r="GM72">
        <v>2.7226599723569581E-3</v>
      </c>
      <c r="GN72">
        <v>3.192675300053014E-3</v>
      </c>
      <c r="GO72">
        <v>3.7722029414720931E-3</v>
      </c>
      <c r="GP72">
        <v>4.3411519021074804E-3</v>
      </c>
      <c r="GQ72">
        <v>4.8165135925846824E-3</v>
      </c>
      <c r="GR72">
        <v>5.5125018293153086E-3</v>
      </c>
      <c r="GS72">
        <v>6.8887182968790234E-3</v>
      </c>
    </row>
    <row r="73" spans="2:201">
      <c r="B73">
        <v>1.8798187085172016E-2</v>
      </c>
      <c r="C73">
        <v>1.3316663372373021E-2</v>
      </c>
      <c r="D73">
        <v>9.6095774840711488E-3</v>
      </c>
      <c r="E73">
        <v>7.4431632480487777E-3</v>
      </c>
      <c r="F73">
        <v>3.7300782633017597E-3</v>
      </c>
      <c r="G73">
        <v>2.8356456470868984E-4</v>
      </c>
      <c r="H73">
        <v>0</v>
      </c>
      <c r="I73">
        <v>0</v>
      </c>
      <c r="J73">
        <v>0</v>
      </c>
      <c r="L73">
        <v>4.5831174492760376E-2</v>
      </c>
      <c r="M73">
        <v>3.448938308971599E-2</v>
      </c>
      <c r="N73">
        <v>2.7156834988931084E-2</v>
      </c>
      <c r="O73">
        <v>2.0943176918076047E-2</v>
      </c>
      <c r="P73">
        <v>8.1909897880440476E-3</v>
      </c>
      <c r="Q73">
        <v>8.8349157529783723E-5</v>
      </c>
      <c r="R73">
        <v>0</v>
      </c>
      <c r="S73">
        <v>0</v>
      </c>
      <c r="T73">
        <v>0</v>
      </c>
      <c r="V73">
        <v>0.26257213068968988</v>
      </c>
      <c r="W73">
        <v>0.1750126179778331</v>
      </c>
      <c r="X73">
        <v>0.11757684287336931</v>
      </c>
      <c r="Y73">
        <v>0.10286678246725121</v>
      </c>
      <c r="Z73">
        <v>8.238025423736911E-2</v>
      </c>
      <c r="AA73">
        <v>6.2505033424253661E-2</v>
      </c>
      <c r="AB73">
        <v>5.0001893749513221E-2</v>
      </c>
      <c r="AC73">
        <v>3.9695549972870323E-2</v>
      </c>
      <c r="AD73">
        <v>3.0467524853013926E-2</v>
      </c>
      <c r="AF73">
        <v>0.19524520902206574</v>
      </c>
      <c r="AG73">
        <v>0.15117920028582574</v>
      </c>
      <c r="AH73">
        <v>0.12345756202665999</v>
      </c>
      <c r="AI73">
        <v>0.11422568018093071</v>
      </c>
      <c r="AJ73">
        <v>0.11797834981187055</v>
      </c>
      <c r="AK73">
        <v>0.11907493335333584</v>
      </c>
      <c r="AL73">
        <v>0.10882736349291301</v>
      </c>
      <c r="AM73">
        <v>9.5586884764712013E-2</v>
      </c>
      <c r="AN73">
        <v>7.8599276354716183E-2</v>
      </c>
      <c r="AP73">
        <v>0.25553477459858281</v>
      </c>
      <c r="AQ73">
        <v>0.29906749975007146</v>
      </c>
      <c r="AR73">
        <v>0.34660881860447273</v>
      </c>
      <c r="AS73">
        <v>0.36996219179113182</v>
      </c>
      <c r="AT73">
        <v>0.38040762535727718</v>
      </c>
      <c r="AU73">
        <v>0.39792989130894174</v>
      </c>
      <c r="AV73">
        <v>0.37233969608866108</v>
      </c>
      <c r="AW73">
        <v>0.30173758864839445</v>
      </c>
      <c r="AX73">
        <v>0.30489259964961624</v>
      </c>
      <c r="AZ73">
        <v>0.1893597514703351</v>
      </c>
      <c r="BA73">
        <v>0.22608533430873676</v>
      </c>
      <c r="BB73">
        <v>0.26506019581945134</v>
      </c>
      <c r="BC73">
        <v>0.29304983278772884</v>
      </c>
      <c r="BD73">
        <v>0.28227937285533555</v>
      </c>
      <c r="BE73">
        <v>0.2441800855648972</v>
      </c>
      <c r="BF73">
        <v>0.19229924601042522</v>
      </c>
      <c r="BG73">
        <v>0.17088394045179656</v>
      </c>
      <c r="BH73">
        <v>0.18156890688177771</v>
      </c>
      <c r="BJ73">
        <v>1.5564415807796574E-2</v>
      </c>
      <c r="BK73">
        <v>1.9035362650606444E-2</v>
      </c>
      <c r="BL73">
        <v>2.3030843750932471E-2</v>
      </c>
      <c r="BM73">
        <v>2.8375173861968229E-2</v>
      </c>
      <c r="BN73">
        <v>4.2673876265264615E-2</v>
      </c>
      <c r="BO73">
        <v>6.2271921607296422E-2</v>
      </c>
      <c r="BP73">
        <v>8.7368234368928932E-2</v>
      </c>
      <c r="BQ73">
        <v>0.12068384968273867</v>
      </c>
      <c r="BR73">
        <v>0.16228191798443081</v>
      </c>
      <c r="BT73">
        <v>1.0518091174820913E-2</v>
      </c>
      <c r="BU73">
        <v>1.3768642916314177E-2</v>
      </c>
      <c r="BV73">
        <v>1.7890359301402963E-2</v>
      </c>
      <c r="BW73">
        <v>2.3069858355669867E-2</v>
      </c>
      <c r="BX73">
        <v>3.1484368390964461E-2</v>
      </c>
      <c r="BY73">
        <v>4.6698300237388336E-2</v>
      </c>
      <c r="BZ73">
        <v>6.7019142189063116E-2</v>
      </c>
      <c r="CA73">
        <v>9.3417032981961842E-2</v>
      </c>
      <c r="CB73">
        <v>0.12503151225644046</v>
      </c>
      <c r="CD73">
        <v>4.5162686882164477E-3</v>
      </c>
      <c r="CE73">
        <v>4.940648691075706E-3</v>
      </c>
      <c r="CF73">
        <v>5.3393991220233774E-3</v>
      </c>
      <c r="CG73">
        <v>5.8136451840629386E-3</v>
      </c>
      <c r="CH73">
        <v>6.4531578689123979E-3</v>
      </c>
      <c r="CI73">
        <v>7.1134200882558589E-3</v>
      </c>
      <c r="CJ73">
        <v>7.8824355046660279E-3</v>
      </c>
      <c r="CK73">
        <v>8.7940583289781212E-3</v>
      </c>
      <c r="CL73">
        <v>1.007311357224876E-2</v>
      </c>
      <c r="CN73">
        <v>2.3914729361363741E-3</v>
      </c>
      <c r="CO73">
        <v>2.4960676905486489E-3</v>
      </c>
      <c r="CP73">
        <v>2.6093445634571308E-3</v>
      </c>
      <c r="CQ73">
        <v>2.95325158786388E-3</v>
      </c>
      <c r="CR73">
        <v>3.5198354339055775E-3</v>
      </c>
      <c r="CS73">
        <v>4.2311712241707095E-3</v>
      </c>
      <c r="CT73">
        <v>4.9189845661998443E-3</v>
      </c>
      <c r="CU73">
        <v>5.5288283290259926E-3</v>
      </c>
      <c r="CV73">
        <v>6.5725610965338584E-3</v>
      </c>
      <c r="CX73">
        <v>1.8366291446778038E-2</v>
      </c>
      <c r="CY73">
        <v>1.3048779818263417E-2</v>
      </c>
      <c r="CZ73">
        <v>9.5379297269477577E-3</v>
      </c>
      <c r="DA73">
        <v>7.4036845480968932E-3</v>
      </c>
      <c r="DB73">
        <v>3.7103234012581129E-3</v>
      </c>
      <c r="DC73">
        <v>2.8215952661298996E-4</v>
      </c>
      <c r="DD73">
        <v>0</v>
      </c>
      <c r="DE73">
        <v>0</v>
      </c>
      <c r="DF73">
        <v>0</v>
      </c>
      <c r="DH73">
        <v>4.5831174492760376E-2</v>
      </c>
      <c r="DI73">
        <v>3.448938308971599E-2</v>
      </c>
      <c r="DJ73">
        <v>2.7156834988931084E-2</v>
      </c>
      <c r="DK73">
        <v>2.0943176918076047E-2</v>
      </c>
      <c r="DL73">
        <v>8.1909897880440476E-3</v>
      </c>
      <c r="DM73">
        <v>8.8349157529783723E-5</v>
      </c>
      <c r="DN73">
        <v>0</v>
      </c>
      <c r="DO73">
        <v>0</v>
      </c>
      <c r="DP73">
        <v>0</v>
      </c>
      <c r="DR73">
        <v>0.26257213068968988</v>
      </c>
      <c r="DS73">
        <v>0.1750126179778331</v>
      </c>
      <c r="DT73">
        <v>0.11757684287336931</v>
      </c>
      <c r="DU73">
        <v>0.10286678246725121</v>
      </c>
      <c r="DV73">
        <v>8.238025423736911E-2</v>
      </c>
      <c r="DW73">
        <v>6.2505033424253661E-2</v>
      </c>
      <c r="DX73">
        <v>5.0001893749513221E-2</v>
      </c>
      <c r="DY73">
        <v>3.9695549972870323E-2</v>
      </c>
      <c r="DZ73">
        <v>3.0467524853013926E-2</v>
      </c>
      <c r="EB73">
        <v>0.19524520902206574</v>
      </c>
      <c r="EC73">
        <v>0.15117920028582574</v>
      </c>
      <c r="ED73">
        <v>0.12345756202665999</v>
      </c>
      <c r="EE73">
        <v>0.11422568018093071</v>
      </c>
      <c r="EF73">
        <v>0.11797834981187055</v>
      </c>
      <c r="EG73">
        <v>0.11907493335333584</v>
      </c>
      <c r="EH73">
        <v>0.10882736349291301</v>
      </c>
      <c r="EI73">
        <v>9.5586884764712013E-2</v>
      </c>
      <c r="EJ73">
        <v>7.8599276354716183E-2</v>
      </c>
      <c r="EL73">
        <v>0.25553477459858281</v>
      </c>
      <c r="EM73">
        <v>0.29906749975007146</v>
      </c>
      <c r="EN73">
        <v>0.34660881860447273</v>
      </c>
      <c r="EO73">
        <v>0.36996219179113182</v>
      </c>
      <c r="EP73">
        <v>0.38040762535727718</v>
      </c>
      <c r="EQ73">
        <v>0.39792989130894174</v>
      </c>
      <c r="ER73">
        <v>0.37233969608866108</v>
      </c>
      <c r="ES73">
        <v>0.30173758864839445</v>
      </c>
      <c r="ET73">
        <v>0.30489259964961624</v>
      </c>
      <c r="EV73">
        <v>0.1893597514703351</v>
      </c>
      <c r="EW73">
        <v>0.22608533430873676</v>
      </c>
      <c r="EX73">
        <v>0.26506019581945134</v>
      </c>
      <c r="EY73">
        <v>0.29304983278772884</v>
      </c>
      <c r="EZ73">
        <v>0.28227937285533555</v>
      </c>
      <c r="FA73">
        <v>0.2441800855648972</v>
      </c>
      <c r="FB73">
        <v>0.19229924601042522</v>
      </c>
      <c r="FC73">
        <v>0.17088394045179656</v>
      </c>
      <c r="FD73">
        <v>0.18156890688177771</v>
      </c>
      <c r="FF73">
        <v>1.5564415807796574E-2</v>
      </c>
      <c r="FG73">
        <v>1.9035362650606444E-2</v>
      </c>
      <c r="FH73">
        <v>2.3030843750932471E-2</v>
      </c>
      <c r="FI73">
        <v>2.8375173861968229E-2</v>
      </c>
      <c r="FJ73">
        <v>4.2673876265264615E-2</v>
      </c>
      <c r="FK73">
        <v>6.2271921607296422E-2</v>
      </c>
      <c r="FL73">
        <v>8.7368234368928932E-2</v>
      </c>
      <c r="FM73">
        <v>0.12068384968273867</v>
      </c>
      <c r="FN73">
        <v>0.16228191798443081</v>
      </c>
      <c r="FP73">
        <v>1.0518091174820913E-2</v>
      </c>
      <c r="FQ73">
        <v>1.3768642916314177E-2</v>
      </c>
      <c r="FR73">
        <v>1.7890359301402963E-2</v>
      </c>
      <c r="FS73">
        <v>2.3069858355669867E-2</v>
      </c>
      <c r="FT73">
        <v>3.1484368390964461E-2</v>
      </c>
      <c r="FU73">
        <v>4.6698300237388336E-2</v>
      </c>
      <c r="FV73">
        <v>6.7019142189063116E-2</v>
      </c>
      <c r="FW73">
        <v>9.3417032981961842E-2</v>
      </c>
      <c r="FX73">
        <v>0.12503151225644046</v>
      </c>
      <c r="FZ73">
        <v>4.5162686882164477E-3</v>
      </c>
      <c r="GA73">
        <v>4.940648691075706E-3</v>
      </c>
      <c r="GB73">
        <v>5.3393991220233774E-3</v>
      </c>
      <c r="GC73">
        <v>5.8136451840629386E-3</v>
      </c>
      <c r="GD73">
        <v>6.4531578689123979E-3</v>
      </c>
      <c r="GE73">
        <v>7.1134200882558589E-3</v>
      </c>
      <c r="GF73">
        <v>7.8824355046660279E-3</v>
      </c>
      <c r="GG73">
        <v>8.7940583289781212E-3</v>
      </c>
      <c r="GH73">
        <v>1.007311357224876E-2</v>
      </c>
      <c r="GJ73">
        <v>2.3914729361363741E-3</v>
      </c>
      <c r="GK73">
        <v>2.4960676905486489E-3</v>
      </c>
      <c r="GL73">
        <v>2.6093445634571308E-3</v>
      </c>
      <c r="GM73">
        <v>2.95325158786388E-3</v>
      </c>
      <c r="GN73">
        <v>3.5198354339055775E-3</v>
      </c>
      <c r="GO73">
        <v>4.2311712241707095E-3</v>
      </c>
      <c r="GP73">
        <v>4.9189845661998443E-3</v>
      </c>
      <c r="GQ73">
        <v>5.5288283290259926E-3</v>
      </c>
      <c r="GR73">
        <v>6.5725610965338584E-3</v>
      </c>
      <c r="GS73">
        <v>8.3912455993668898E-3</v>
      </c>
    </row>
    <row r="74" spans="2:201">
      <c r="B74">
        <v>2.8682442000941517E-2</v>
      </c>
      <c r="C74">
        <v>1.9551794709179164E-2</v>
      </c>
      <c r="D74">
        <v>1.362791971256885E-2</v>
      </c>
      <c r="E74">
        <v>1.0170321321372236E-2</v>
      </c>
      <c r="F74">
        <v>5.0037420375866476E-3</v>
      </c>
      <c r="G74">
        <v>3.9157574286073778E-4</v>
      </c>
      <c r="H74">
        <v>0</v>
      </c>
      <c r="I74">
        <v>0</v>
      </c>
      <c r="J74">
        <v>0</v>
      </c>
      <c r="L74">
        <v>4.6853087472684268E-2</v>
      </c>
      <c r="M74">
        <v>3.3127910162250272E-2</v>
      </c>
      <c r="N74">
        <v>2.4895844403156592E-2</v>
      </c>
      <c r="O74">
        <v>1.877457369227931E-2</v>
      </c>
      <c r="P74">
        <v>7.99511523909433E-3</v>
      </c>
      <c r="Q74">
        <v>3.2810519975880068E-4</v>
      </c>
      <c r="R74">
        <v>0</v>
      </c>
      <c r="S74">
        <v>0</v>
      </c>
      <c r="T74">
        <v>0</v>
      </c>
      <c r="V74">
        <v>0.32983366952491666</v>
      </c>
      <c r="W74">
        <v>0.26056795746328726</v>
      </c>
      <c r="X74">
        <v>0.17840831763132647</v>
      </c>
      <c r="Y74">
        <v>0.13981789696580876</v>
      </c>
      <c r="Z74">
        <v>0.11331045627146069</v>
      </c>
      <c r="AA74">
        <v>8.8502636995285489E-2</v>
      </c>
      <c r="AB74">
        <v>7.3377867590397508E-2</v>
      </c>
      <c r="AC74">
        <v>5.9576173076160061E-2</v>
      </c>
      <c r="AD74">
        <v>4.6874466879705083E-2</v>
      </c>
      <c r="AF74">
        <v>0.24983369420103416</v>
      </c>
      <c r="AG74">
        <v>0.1864232687712874</v>
      </c>
      <c r="AH74">
        <v>0.14742546384596383</v>
      </c>
      <c r="AI74">
        <v>0.14427084042089278</v>
      </c>
      <c r="AJ74">
        <v>0.13986864257225021</v>
      </c>
      <c r="AK74">
        <v>0.12876116824477446</v>
      </c>
      <c r="AL74">
        <v>0.11301982416596353</v>
      </c>
      <c r="AM74">
        <v>9.7229941105211187E-2</v>
      </c>
      <c r="AN74">
        <v>7.8038643646596878E-2</v>
      </c>
      <c r="AP74">
        <v>0.58376160911296526</v>
      </c>
      <c r="AQ74">
        <v>0.6754363691933154</v>
      </c>
      <c r="AR74">
        <v>0.72998371607786405</v>
      </c>
      <c r="AS74">
        <v>0.7402380219896354</v>
      </c>
      <c r="AT74">
        <v>0.58900138326072371</v>
      </c>
      <c r="AU74">
        <v>0.39204838730298924</v>
      </c>
      <c r="AV74">
        <v>0.62708502869148508</v>
      </c>
      <c r="AW74">
        <v>0.54333244319601992</v>
      </c>
      <c r="AX74">
        <v>0.47565030199395586</v>
      </c>
      <c r="AZ74">
        <v>0.26638306117191929</v>
      </c>
      <c r="BA74">
        <v>0.31095209032344334</v>
      </c>
      <c r="BB74">
        <v>0.35879659537128722</v>
      </c>
      <c r="BC74">
        <v>0.38829136999945019</v>
      </c>
      <c r="BD74">
        <v>0.37861969212412494</v>
      </c>
      <c r="BE74">
        <v>0.35589376365302822</v>
      </c>
      <c r="BF74">
        <v>0.30516162323487395</v>
      </c>
      <c r="BG74">
        <v>0.25344840145422026</v>
      </c>
      <c r="BH74">
        <v>0.24330111017655681</v>
      </c>
      <c r="BJ74">
        <v>2.6575084597122559E-2</v>
      </c>
      <c r="BK74">
        <v>3.3018876307136305E-2</v>
      </c>
      <c r="BL74">
        <v>4.0587044320164932E-2</v>
      </c>
      <c r="BM74">
        <v>5.037176808309949E-2</v>
      </c>
      <c r="BN74">
        <v>7.7385250953319357E-2</v>
      </c>
      <c r="BO74">
        <v>0.11833329709658069</v>
      </c>
      <c r="BP74">
        <v>0.17243915760632483</v>
      </c>
      <c r="BQ74">
        <v>0.24931689265077092</v>
      </c>
      <c r="BR74">
        <v>0.35977523579854037</v>
      </c>
      <c r="BT74">
        <v>1.2213155921209308E-2</v>
      </c>
      <c r="BU74">
        <v>1.6311610335102724E-2</v>
      </c>
      <c r="BV74">
        <v>2.1139519274913154E-2</v>
      </c>
      <c r="BW74">
        <v>2.7560411878338527E-2</v>
      </c>
      <c r="BX74">
        <v>4.1123276391256833E-2</v>
      </c>
      <c r="BY74">
        <v>6.3180791217924193E-2</v>
      </c>
      <c r="BZ74">
        <v>9.0879326393306009E-2</v>
      </c>
      <c r="CA74">
        <v>0.12340263187487502</v>
      </c>
      <c r="CB74">
        <v>0.16649499437342299</v>
      </c>
      <c r="CD74">
        <v>7.3387229062154792E-3</v>
      </c>
      <c r="CE74">
        <v>8.0294933429117307E-3</v>
      </c>
      <c r="CF74">
        <v>8.8289697098351966E-3</v>
      </c>
      <c r="CG74">
        <v>9.7326966639482756E-3</v>
      </c>
      <c r="CH74">
        <v>1.0755984787909924E-2</v>
      </c>
      <c r="CI74">
        <v>1.1944338804497195E-2</v>
      </c>
      <c r="CJ74">
        <v>1.3279152780835456E-2</v>
      </c>
      <c r="CK74">
        <v>1.4746411747365075E-2</v>
      </c>
      <c r="CL74">
        <v>1.6703397115211863E-2</v>
      </c>
      <c r="CN74">
        <v>3.6298924605339157E-3</v>
      </c>
      <c r="CO74">
        <v>3.905930542081262E-3</v>
      </c>
      <c r="CP74">
        <v>4.1126013238568454E-3</v>
      </c>
      <c r="CQ74">
        <v>4.3952398548598639E-3</v>
      </c>
      <c r="CR74">
        <v>4.8957573700859954E-3</v>
      </c>
      <c r="CS74">
        <v>5.4847842343978383E-3</v>
      </c>
      <c r="CT74">
        <v>6.0308155891740474E-3</v>
      </c>
      <c r="CU74">
        <v>6.4909460844619375E-3</v>
      </c>
      <c r="CV74">
        <v>7.4794923369116409E-3</v>
      </c>
      <c r="CX74">
        <v>2.8551030738480174E-2</v>
      </c>
      <c r="CY74">
        <v>1.9471783694186732E-2</v>
      </c>
      <c r="CZ74">
        <v>1.3607142177693276E-2</v>
      </c>
      <c r="DA74">
        <v>1.0159546633538611E-2</v>
      </c>
      <c r="DB74">
        <v>4.9984378626521291E-3</v>
      </c>
      <c r="DC74">
        <v>3.9118743447815894E-4</v>
      </c>
      <c r="DD74">
        <v>0</v>
      </c>
      <c r="DE74">
        <v>0</v>
      </c>
      <c r="DF74">
        <v>0</v>
      </c>
      <c r="DH74">
        <v>4.6853087472684268E-2</v>
      </c>
      <c r="DI74">
        <v>3.3127910162250272E-2</v>
      </c>
      <c r="DJ74">
        <v>2.4895844403156592E-2</v>
      </c>
      <c r="DK74">
        <v>1.877457369227931E-2</v>
      </c>
      <c r="DL74">
        <v>7.99511523909433E-3</v>
      </c>
      <c r="DM74">
        <v>3.2810519975880068E-4</v>
      </c>
      <c r="DN74">
        <v>0</v>
      </c>
      <c r="DO74">
        <v>0</v>
      </c>
      <c r="DP74">
        <v>0</v>
      </c>
      <c r="DR74">
        <v>0.32983366952491666</v>
      </c>
      <c r="DS74">
        <v>0.26056795746328726</v>
      </c>
      <c r="DT74">
        <v>0.17840831763132647</v>
      </c>
      <c r="DU74">
        <v>0.13981789696580876</v>
      </c>
      <c r="DV74">
        <v>0.11331045627146069</v>
      </c>
      <c r="DW74">
        <v>8.8502636995285489E-2</v>
      </c>
      <c r="DX74">
        <v>7.3377867590397508E-2</v>
      </c>
      <c r="DY74">
        <v>5.9576173076160061E-2</v>
      </c>
      <c r="DZ74">
        <v>4.6874466879705083E-2</v>
      </c>
      <c r="EB74">
        <v>0.24983369420103416</v>
      </c>
      <c r="EC74">
        <v>0.1864232687712874</v>
      </c>
      <c r="ED74">
        <v>0.14742546384596383</v>
      </c>
      <c r="EE74">
        <v>0.14427084042089278</v>
      </c>
      <c r="EF74">
        <v>0.13986864257225021</v>
      </c>
      <c r="EG74">
        <v>0.12876116824477446</v>
      </c>
      <c r="EH74">
        <v>0.11301982416596353</v>
      </c>
      <c r="EI74">
        <v>9.7229941105211187E-2</v>
      </c>
      <c r="EJ74">
        <v>7.8038643646596878E-2</v>
      </c>
      <c r="EL74">
        <v>0.58376160911296526</v>
      </c>
      <c r="EM74">
        <v>0.6754363691933154</v>
      </c>
      <c r="EN74">
        <v>0.72998371607786405</v>
      </c>
      <c r="EO74">
        <v>0.7402380219896354</v>
      </c>
      <c r="EP74">
        <v>0.58900138326072371</v>
      </c>
      <c r="EQ74">
        <v>0.39204838730298924</v>
      </c>
      <c r="ER74">
        <v>0.62708502869148508</v>
      </c>
      <c r="ES74">
        <v>0.54333244319601992</v>
      </c>
      <c r="ET74">
        <v>0.47565030199395586</v>
      </c>
      <c r="EV74">
        <v>0.26638306117191929</v>
      </c>
      <c r="EW74">
        <v>0.31095209032344334</v>
      </c>
      <c r="EX74">
        <v>0.35879659537128722</v>
      </c>
      <c r="EY74">
        <v>0.38829136999945019</v>
      </c>
      <c r="EZ74">
        <v>0.37861969212412494</v>
      </c>
      <c r="FA74">
        <v>0.35589376365302822</v>
      </c>
      <c r="FB74">
        <v>0.30516162323487395</v>
      </c>
      <c r="FC74">
        <v>0.25344840145422026</v>
      </c>
      <c r="FD74">
        <v>0.24330111017655681</v>
      </c>
      <c r="FF74">
        <v>2.6575084597122559E-2</v>
      </c>
      <c r="FG74">
        <v>3.3018876307136305E-2</v>
      </c>
      <c r="FH74">
        <v>4.0587044320164932E-2</v>
      </c>
      <c r="FI74">
        <v>5.037176808309949E-2</v>
      </c>
      <c r="FJ74">
        <v>7.7385250953319357E-2</v>
      </c>
      <c r="FK74">
        <v>0.11833329709658069</v>
      </c>
      <c r="FL74">
        <v>0.17243915760632483</v>
      </c>
      <c r="FM74">
        <v>0.24931689265077092</v>
      </c>
      <c r="FN74">
        <v>0.35977523579854037</v>
      </c>
      <c r="FP74">
        <v>1.2213155921209308E-2</v>
      </c>
      <c r="FQ74">
        <v>1.6311610335102724E-2</v>
      </c>
      <c r="FR74">
        <v>2.1139519274913154E-2</v>
      </c>
      <c r="FS74">
        <v>2.7560411878338527E-2</v>
      </c>
      <c r="FT74">
        <v>4.1123276391256833E-2</v>
      </c>
      <c r="FU74">
        <v>6.3180791217924193E-2</v>
      </c>
      <c r="FV74">
        <v>9.0879326393306009E-2</v>
      </c>
      <c r="FW74">
        <v>0.12340263187487502</v>
      </c>
      <c r="FX74">
        <v>0.16649499437342299</v>
      </c>
      <c r="FZ74">
        <v>7.3387229062154792E-3</v>
      </c>
      <c r="GA74">
        <v>8.0294933429117307E-3</v>
      </c>
      <c r="GB74">
        <v>8.8289697098351966E-3</v>
      </c>
      <c r="GC74">
        <v>9.7326966639482756E-3</v>
      </c>
      <c r="GD74">
        <v>1.0755984787909924E-2</v>
      </c>
      <c r="GE74">
        <v>1.1944338804497195E-2</v>
      </c>
      <c r="GF74">
        <v>1.3279152780835456E-2</v>
      </c>
      <c r="GG74">
        <v>1.4746411747365075E-2</v>
      </c>
      <c r="GH74">
        <v>1.6703397115211863E-2</v>
      </c>
      <c r="GJ74">
        <v>3.6298924605339157E-3</v>
      </c>
      <c r="GK74">
        <v>3.905930542081262E-3</v>
      </c>
      <c r="GL74">
        <v>4.1126013238568454E-3</v>
      </c>
      <c r="GM74">
        <v>4.3952398548598639E-3</v>
      </c>
      <c r="GN74">
        <v>4.8957573700859954E-3</v>
      </c>
      <c r="GO74">
        <v>5.4847842343978383E-3</v>
      </c>
      <c r="GP74">
        <v>6.0308155891740474E-3</v>
      </c>
      <c r="GQ74">
        <v>6.4909460844619375E-3</v>
      </c>
      <c r="GR74">
        <v>7.4794923369116409E-3</v>
      </c>
      <c r="GS74">
        <v>9.5745764334967919E-3</v>
      </c>
    </row>
    <row r="75" spans="2:201">
      <c r="B75">
        <v>3.5203114794278539E-2</v>
      </c>
      <c r="C75">
        <v>2.4042626049310043E-2</v>
      </c>
      <c r="D75">
        <v>1.6989266573381262E-2</v>
      </c>
      <c r="E75">
        <v>1.2654284619542003E-2</v>
      </c>
      <c r="F75">
        <v>6.120996338269096E-3</v>
      </c>
      <c r="G75">
        <v>4.6568986177281081E-4</v>
      </c>
      <c r="H75">
        <v>0</v>
      </c>
      <c r="I75">
        <v>0</v>
      </c>
      <c r="J75">
        <v>0</v>
      </c>
      <c r="L75">
        <v>4.2625913966738795E-2</v>
      </c>
      <c r="M75">
        <v>2.955796247732673E-2</v>
      </c>
      <c r="N75">
        <v>2.1583984829002235E-2</v>
      </c>
      <c r="O75">
        <v>1.6110461248952195E-2</v>
      </c>
      <c r="P75">
        <v>7.2679758606533076E-3</v>
      </c>
      <c r="Q75">
        <v>4.4022182152838522E-4</v>
      </c>
      <c r="R75">
        <v>0</v>
      </c>
      <c r="S75">
        <v>0</v>
      </c>
      <c r="T75">
        <v>0</v>
      </c>
      <c r="V75">
        <v>0.33115807397469732</v>
      </c>
      <c r="W75">
        <v>0.28132573929710092</v>
      </c>
      <c r="X75">
        <v>0.20094483235821575</v>
      </c>
      <c r="Y75">
        <v>0.15557879023684207</v>
      </c>
      <c r="Z75">
        <v>0.12986714745659717</v>
      </c>
      <c r="AA75">
        <v>0.10447057407449477</v>
      </c>
      <c r="AB75">
        <v>8.7751237095910095E-2</v>
      </c>
      <c r="AC75">
        <v>7.2212751804783343E-2</v>
      </c>
      <c r="AD75">
        <v>5.7504885318009041E-2</v>
      </c>
      <c r="AF75">
        <v>0.27457600959037098</v>
      </c>
      <c r="AG75">
        <v>0.21824952078902979</v>
      </c>
      <c r="AH75">
        <v>0.17274262938634874</v>
      </c>
      <c r="AI75">
        <v>0.16391232928977523</v>
      </c>
      <c r="AJ75">
        <v>0.1465791076513413</v>
      </c>
      <c r="AK75">
        <v>0.12398348467745939</v>
      </c>
      <c r="AL75">
        <v>0.1053979762651283</v>
      </c>
      <c r="AM75">
        <v>8.9658571716167895E-2</v>
      </c>
      <c r="AN75">
        <v>7.2060185932067589E-2</v>
      </c>
      <c r="AP75">
        <v>0.62206987305726635</v>
      </c>
      <c r="AQ75">
        <v>0.7121870536985293</v>
      </c>
      <c r="AR75">
        <v>0.77442375062787927</v>
      </c>
      <c r="AS75">
        <v>0.79167285679447563</v>
      </c>
      <c r="AT75">
        <v>0.74795278027484291</v>
      </c>
      <c r="AU75">
        <v>0.72429581158821787</v>
      </c>
      <c r="AV75">
        <v>0.65182678441404063</v>
      </c>
      <c r="AW75">
        <v>0.58595925659667392</v>
      </c>
      <c r="AX75">
        <v>0.50472284319257621</v>
      </c>
      <c r="AZ75">
        <v>0.37872349802082445</v>
      </c>
      <c r="BA75">
        <v>0.43310302575660153</v>
      </c>
      <c r="BB75">
        <v>0.47598633637147181</v>
      </c>
      <c r="BC75">
        <v>0.50219073827413152</v>
      </c>
      <c r="BD75">
        <v>0.51394624139611422</v>
      </c>
      <c r="BE75">
        <v>0.51146011676762126</v>
      </c>
      <c r="BF75">
        <v>0.45045716247153045</v>
      </c>
      <c r="BG75">
        <v>0.37287668251517819</v>
      </c>
      <c r="BH75">
        <v>0.33154130563370299</v>
      </c>
      <c r="BJ75">
        <v>2.6447213788291193E-2</v>
      </c>
      <c r="BK75">
        <v>3.3039535620788776E-2</v>
      </c>
      <c r="BL75">
        <v>4.0983900479961768E-2</v>
      </c>
      <c r="BM75">
        <v>5.1817133813861688E-2</v>
      </c>
      <c r="BN75">
        <v>8.1168173809939181E-2</v>
      </c>
      <c r="BO75">
        <v>0.12422866656784359</v>
      </c>
      <c r="BP75">
        <v>0.18565266756060916</v>
      </c>
      <c r="BQ75">
        <v>0.27640359914537943</v>
      </c>
      <c r="BR75">
        <v>0.39038792848268111</v>
      </c>
      <c r="BT75">
        <v>1.7114731804565391E-2</v>
      </c>
      <c r="BU75">
        <v>2.155152935378422E-2</v>
      </c>
      <c r="BV75">
        <v>2.6551054454777446E-2</v>
      </c>
      <c r="BW75">
        <v>3.3394435150268145E-2</v>
      </c>
      <c r="BX75">
        <v>5.144255961579363E-2</v>
      </c>
      <c r="BY75">
        <v>7.9952159727082653E-2</v>
      </c>
      <c r="BZ75">
        <v>0.11825681163936042</v>
      </c>
      <c r="CA75">
        <v>0.16517957775665665</v>
      </c>
      <c r="CB75">
        <v>0.22671006745377245</v>
      </c>
      <c r="CD75">
        <v>7.1476414400991626E-3</v>
      </c>
      <c r="CE75">
        <v>7.8285550557617954E-3</v>
      </c>
      <c r="CF75">
        <v>8.5512395759780972E-3</v>
      </c>
      <c r="CG75">
        <v>9.3896587875680459E-3</v>
      </c>
      <c r="CH75">
        <v>1.0419747940424192E-2</v>
      </c>
      <c r="CI75">
        <v>1.1557571859204771E-2</v>
      </c>
      <c r="CJ75">
        <v>1.2870202792607786E-2</v>
      </c>
      <c r="CK75">
        <v>1.4382932814342235E-2</v>
      </c>
      <c r="CL75">
        <v>1.6470887664641946E-2</v>
      </c>
      <c r="CN75">
        <v>4.8642446272773613E-3</v>
      </c>
      <c r="CO75">
        <v>5.3387167841272721E-3</v>
      </c>
      <c r="CP75">
        <v>5.7306363907894294E-3</v>
      </c>
      <c r="CQ75">
        <v>6.2260344674556411E-3</v>
      </c>
      <c r="CR75">
        <v>6.978420714693765E-3</v>
      </c>
      <c r="CS75">
        <v>7.7756169799730462E-3</v>
      </c>
      <c r="CT75">
        <v>8.6374186021272014E-3</v>
      </c>
      <c r="CU75">
        <v>9.5773152795507657E-3</v>
      </c>
      <c r="CV75">
        <v>1.1070687336131571E-2</v>
      </c>
      <c r="CX75">
        <v>3.5203114794278539E-2</v>
      </c>
      <c r="CY75">
        <v>2.4042626049310043E-2</v>
      </c>
      <c r="CZ75">
        <v>1.6989266573381262E-2</v>
      </c>
      <c r="DA75">
        <v>1.2654284619542003E-2</v>
      </c>
      <c r="DB75">
        <v>6.120996338269096E-3</v>
      </c>
      <c r="DC75">
        <v>4.6568986177281081E-4</v>
      </c>
      <c r="DD75">
        <v>0</v>
      </c>
      <c r="DE75">
        <v>0</v>
      </c>
      <c r="DF75">
        <v>0</v>
      </c>
      <c r="DH75">
        <v>4.2625913966738795E-2</v>
      </c>
      <c r="DI75">
        <v>2.955796247732673E-2</v>
      </c>
      <c r="DJ75">
        <v>2.1583984829002235E-2</v>
      </c>
      <c r="DK75">
        <v>1.6110461248952195E-2</v>
      </c>
      <c r="DL75">
        <v>7.2679758606533076E-3</v>
      </c>
      <c r="DM75">
        <v>4.4022182152838522E-4</v>
      </c>
      <c r="DN75">
        <v>0</v>
      </c>
      <c r="DO75">
        <v>0</v>
      </c>
      <c r="DP75">
        <v>0</v>
      </c>
      <c r="DR75">
        <v>0.33115807397469732</v>
      </c>
      <c r="DS75">
        <v>0.28132573929710092</v>
      </c>
      <c r="DT75">
        <v>0.20094483235821575</v>
      </c>
      <c r="DU75">
        <v>0.15557879023684207</v>
      </c>
      <c r="DV75">
        <v>0.12986714745659717</v>
      </c>
      <c r="DW75">
        <v>0.10447057407449477</v>
      </c>
      <c r="DX75">
        <v>8.7751237095910095E-2</v>
      </c>
      <c r="DY75">
        <v>7.2212751804783343E-2</v>
      </c>
      <c r="DZ75">
        <v>5.7504885318009041E-2</v>
      </c>
      <c r="EB75">
        <v>0.27457600959037098</v>
      </c>
      <c r="EC75">
        <v>0.21824952078902979</v>
      </c>
      <c r="ED75">
        <v>0.17274262938634874</v>
      </c>
      <c r="EE75">
        <v>0.16391232928977523</v>
      </c>
      <c r="EF75">
        <v>0.1465791076513413</v>
      </c>
      <c r="EG75">
        <v>0.12398348467745939</v>
      </c>
      <c r="EH75">
        <v>0.1053979762651283</v>
      </c>
      <c r="EI75">
        <v>8.9658571716167895E-2</v>
      </c>
      <c r="EJ75">
        <v>7.2060185932067589E-2</v>
      </c>
      <c r="EL75">
        <v>0.62206987305726635</v>
      </c>
      <c r="EM75">
        <v>0.7121870536985293</v>
      </c>
      <c r="EN75">
        <v>0.77442375062787927</v>
      </c>
      <c r="EO75">
        <v>0.79167285679447563</v>
      </c>
      <c r="EP75">
        <v>0.74795278027484291</v>
      </c>
      <c r="EQ75">
        <v>0.72429581158821787</v>
      </c>
      <c r="ER75">
        <v>0.65182678441404063</v>
      </c>
      <c r="ES75">
        <v>0.58595925659667392</v>
      </c>
      <c r="ET75">
        <v>0.50472284319257621</v>
      </c>
      <c r="EV75">
        <v>0.37872349802082445</v>
      </c>
      <c r="EW75">
        <v>0.43310302575660153</v>
      </c>
      <c r="EX75">
        <v>0.47598633637147181</v>
      </c>
      <c r="EY75">
        <v>0.50219073827413152</v>
      </c>
      <c r="EZ75">
        <v>0.51394624139611422</v>
      </c>
      <c r="FA75">
        <v>0.51146011676762126</v>
      </c>
      <c r="FB75">
        <v>0.45045716247153045</v>
      </c>
      <c r="FC75">
        <v>0.37287668251517819</v>
      </c>
      <c r="FD75">
        <v>0.33154130563370299</v>
      </c>
      <c r="FF75">
        <v>2.6447213788291193E-2</v>
      </c>
      <c r="FG75">
        <v>3.3039535620788776E-2</v>
      </c>
      <c r="FH75">
        <v>4.0983900479961768E-2</v>
      </c>
      <c r="FI75">
        <v>5.1817133813861688E-2</v>
      </c>
      <c r="FJ75">
        <v>8.1168173809939181E-2</v>
      </c>
      <c r="FK75">
        <v>0.12422866656784359</v>
      </c>
      <c r="FL75">
        <v>0.18565266756060916</v>
      </c>
      <c r="FM75">
        <v>0.27640359914537943</v>
      </c>
      <c r="FN75">
        <v>0.39038792848268111</v>
      </c>
      <c r="FP75">
        <v>1.7114731804565391E-2</v>
      </c>
      <c r="FQ75">
        <v>2.155152935378422E-2</v>
      </c>
      <c r="FR75">
        <v>2.6551054454777446E-2</v>
      </c>
      <c r="FS75">
        <v>3.3394435150268145E-2</v>
      </c>
      <c r="FT75">
        <v>5.144255961579363E-2</v>
      </c>
      <c r="FU75">
        <v>7.9952159727082653E-2</v>
      </c>
      <c r="FV75">
        <v>0.11825681163936042</v>
      </c>
      <c r="FW75">
        <v>0.16517957775665665</v>
      </c>
      <c r="FX75">
        <v>0.22671006745377245</v>
      </c>
      <c r="FZ75">
        <v>7.1476414400991626E-3</v>
      </c>
      <c r="GA75">
        <v>7.8285550557617954E-3</v>
      </c>
      <c r="GB75">
        <v>8.5512395759780972E-3</v>
      </c>
      <c r="GC75">
        <v>9.3896587875680459E-3</v>
      </c>
      <c r="GD75">
        <v>1.0419747940424192E-2</v>
      </c>
      <c r="GE75">
        <v>1.1557571859204771E-2</v>
      </c>
      <c r="GF75">
        <v>1.2870202792607786E-2</v>
      </c>
      <c r="GG75">
        <v>1.4382932814342235E-2</v>
      </c>
      <c r="GH75">
        <v>1.6470887664641946E-2</v>
      </c>
      <c r="GJ75">
        <v>4.8642446272773613E-3</v>
      </c>
      <c r="GK75">
        <v>5.3387167841272721E-3</v>
      </c>
      <c r="GL75">
        <v>5.7306363907894294E-3</v>
      </c>
      <c r="GM75">
        <v>6.2260344674556411E-3</v>
      </c>
      <c r="GN75">
        <v>6.978420714693765E-3</v>
      </c>
      <c r="GO75">
        <v>7.7756169799730462E-3</v>
      </c>
      <c r="GP75">
        <v>8.6374186021272014E-3</v>
      </c>
      <c r="GQ75">
        <v>9.5773152795507657E-3</v>
      </c>
      <c r="GR75">
        <v>1.1070687336131571E-2</v>
      </c>
      <c r="GS75">
        <v>1.3861264359730773E-2</v>
      </c>
    </row>
    <row r="76" spans="2:201">
      <c r="B76">
        <v>4.2625913966738795E-2</v>
      </c>
      <c r="C76">
        <v>2.955796247732673E-2</v>
      </c>
      <c r="D76">
        <v>2.1583984829002235E-2</v>
      </c>
      <c r="E76">
        <v>1.6110461248952195E-2</v>
      </c>
      <c r="F76">
        <v>7.2679758606533076E-3</v>
      </c>
      <c r="G76">
        <v>4.4022182152838522E-4</v>
      </c>
      <c r="H76">
        <v>0</v>
      </c>
      <c r="I76">
        <v>0</v>
      </c>
      <c r="J76">
        <v>0</v>
      </c>
      <c r="L76">
        <v>3.5203114794278539E-2</v>
      </c>
      <c r="M76">
        <v>2.4042626049310043E-2</v>
      </c>
      <c r="N76">
        <v>1.6989266573381262E-2</v>
      </c>
      <c r="O76">
        <v>1.2654284619542003E-2</v>
      </c>
      <c r="P76">
        <v>6.120996338269096E-3</v>
      </c>
      <c r="Q76">
        <v>4.6568986177281081E-4</v>
      </c>
      <c r="R76">
        <v>0</v>
      </c>
      <c r="S76">
        <v>0</v>
      </c>
      <c r="T76">
        <v>0</v>
      </c>
      <c r="V76">
        <v>0.27457600959037098</v>
      </c>
      <c r="W76">
        <v>0.21824952078902979</v>
      </c>
      <c r="X76">
        <v>0.17274262938634874</v>
      </c>
      <c r="Y76">
        <v>0.16391232928977523</v>
      </c>
      <c r="Z76">
        <v>0.1465791076513413</v>
      </c>
      <c r="AA76">
        <v>0.12398348467745939</v>
      </c>
      <c r="AB76">
        <v>0.1053979762651283</v>
      </c>
      <c r="AC76">
        <v>8.9658571716167895E-2</v>
      </c>
      <c r="AD76">
        <v>7.2060185932067589E-2</v>
      </c>
      <c r="AF76">
        <v>0.33115807397469732</v>
      </c>
      <c r="AG76">
        <v>0.28132573929710092</v>
      </c>
      <c r="AH76">
        <v>0.20094483235821575</v>
      </c>
      <c r="AI76">
        <v>0.15557879023684207</v>
      </c>
      <c r="AJ76">
        <v>0.12986714745659717</v>
      </c>
      <c r="AK76">
        <v>0.10447057407449477</v>
      </c>
      <c r="AL76">
        <v>8.7751237095910095E-2</v>
      </c>
      <c r="AM76">
        <v>7.2212751804783343E-2</v>
      </c>
      <c r="AN76">
        <v>5.7504885318009041E-2</v>
      </c>
      <c r="AP76">
        <v>0.37872349802082445</v>
      </c>
      <c r="AQ76">
        <v>0.43310302575660153</v>
      </c>
      <c r="AR76">
        <v>0.47598633637147181</v>
      </c>
      <c r="AS76">
        <v>0.50219073827413152</v>
      </c>
      <c r="AT76">
        <v>0.51394624139611422</v>
      </c>
      <c r="AU76">
        <v>0.51146011676762126</v>
      </c>
      <c r="AV76">
        <v>0.45045716247153045</v>
      </c>
      <c r="AW76">
        <v>0.37287668251517819</v>
      </c>
      <c r="AX76">
        <v>0.33154130563370299</v>
      </c>
      <c r="AZ76">
        <v>0.62206987305726635</v>
      </c>
      <c r="BA76">
        <v>0.7121870536985293</v>
      </c>
      <c r="BB76">
        <v>0.77442375062787927</v>
      </c>
      <c r="BC76">
        <v>0.79167285679447563</v>
      </c>
      <c r="BD76">
        <v>0.74795278027484291</v>
      </c>
      <c r="BE76">
        <v>0.72429581158821787</v>
      </c>
      <c r="BF76">
        <v>0.65182678441404063</v>
      </c>
      <c r="BG76">
        <v>0.58595925659667392</v>
      </c>
      <c r="BH76">
        <v>0.50472284319257621</v>
      </c>
      <c r="BJ76">
        <v>1.7114731804565391E-2</v>
      </c>
      <c r="BK76">
        <v>2.155152935378422E-2</v>
      </c>
      <c r="BL76">
        <v>2.6551054454777446E-2</v>
      </c>
      <c r="BM76">
        <v>3.3394435150268145E-2</v>
      </c>
      <c r="BN76">
        <v>5.144255961579363E-2</v>
      </c>
      <c r="BO76">
        <v>7.9952159727082653E-2</v>
      </c>
      <c r="BP76">
        <v>0.11825681163936042</v>
      </c>
      <c r="BQ76">
        <v>0.16517957775665665</v>
      </c>
      <c r="BR76">
        <v>0.22671006745377245</v>
      </c>
      <c r="BT76">
        <v>2.6447213788291193E-2</v>
      </c>
      <c r="BU76">
        <v>3.3039535620788776E-2</v>
      </c>
      <c r="BV76">
        <v>4.0983900479961768E-2</v>
      </c>
      <c r="BW76">
        <v>5.1817133813861688E-2</v>
      </c>
      <c r="BX76">
        <v>8.1168173809939181E-2</v>
      </c>
      <c r="BY76">
        <v>0.12422866656784359</v>
      </c>
      <c r="BZ76">
        <v>0.18565266756060916</v>
      </c>
      <c r="CA76">
        <v>0.27640359914537943</v>
      </c>
      <c r="CB76">
        <v>0.39038792848268111</v>
      </c>
      <c r="CD76">
        <v>4.8642446272773613E-3</v>
      </c>
      <c r="CE76">
        <v>5.3387167841272721E-3</v>
      </c>
      <c r="CF76">
        <v>5.7306363907894294E-3</v>
      </c>
      <c r="CG76">
        <v>6.2260344674556411E-3</v>
      </c>
      <c r="CH76">
        <v>6.978420714693765E-3</v>
      </c>
      <c r="CI76">
        <v>7.7756169799730462E-3</v>
      </c>
      <c r="CJ76">
        <v>8.6374186021272014E-3</v>
      </c>
      <c r="CK76">
        <v>9.5773152795507657E-3</v>
      </c>
      <c r="CL76">
        <v>1.1070687336131571E-2</v>
      </c>
      <c r="CN76">
        <v>7.1476414400991626E-3</v>
      </c>
      <c r="CO76">
        <v>7.8285550557617954E-3</v>
      </c>
      <c r="CP76">
        <v>8.5512395759780972E-3</v>
      </c>
      <c r="CQ76">
        <v>9.3896587875680459E-3</v>
      </c>
      <c r="CR76">
        <v>1.0419747940424192E-2</v>
      </c>
      <c r="CS76">
        <v>1.1557571859204771E-2</v>
      </c>
      <c r="CT76">
        <v>1.2870202792607786E-2</v>
      </c>
      <c r="CU76">
        <v>1.4382932814342235E-2</v>
      </c>
      <c r="CV76">
        <v>1.6470887664641946E-2</v>
      </c>
      <c r="CX76">
        <v>4.2625913966738795E-2</v>
      </c>
      <c r="CY76">
        <v>2.955796247732673E-2</v>
      </c>
      <c r="CZ76">
        <v>2.1583984829002235E-2</v>
      </c>
      <c r="DA76">
        <v>1.6110461248952195E-2</v>
      </c>
      <c r="DB76">
        <v>7.2679758606533076E-3</v>
      </c>
      <c r="DC76">
        <v>4.4022182152838522E-4</v>
      </c>
      <c r="DD76">
        <v>0</v>
      </c>
      <c r="DE76">
        <v>0</v>
      </c>
      <c r="DF76">
        <v>0</v>
      </c>
      <c r="DH76">
        <v>3.5203114794278539E-2</v>
      </c>
      <c r="DI76">
        <v>2.4042626049310043E-2</v>
      </c>
      <c r="DJ76">
        <v>1.6989266573381262E-2</v>
      </c>
      <c r="DK76">
        <v>1.2654284619542003E-2</v>
      </c>
      <c r="DL76">
        <v>6.120996338269096E-3</v>
      </c>
      <c r="DM76">
        <v>4.6568986177281081E-4</v>
      </c>
      <c r="DN76">
        <v>0</v>
      </c>
      <c r="DO76">
        <v>0</v>
      </c>
      <c r="DP76">
        <v>0</v>
      </c>
      <c r="DR76">
        <v>0.27457600959037098</v>
      </c>
      <c r="DS76">
        <v>0.21824952078902979</v>
      </c>
      <c r="DT76">
        <v>0.17274262938634874</v>
      </c>
      <c r="DU76">
        <v>0.16391232928977523</v>
      </c>
      <c r="DV76">
        <v>0.1465791076513413</v>
      </c>
      <c r="DW76">
        <v>0.12398348467745939</v>
      </c>
      <c r="DX76">
        <v>0.1053979762651283</v>
      </c>
      <c r="DY76">
        <v>8.9658571716167895E-2</v>
      </c>
      <c r="DZ76">
        <v>7.2060185932067589E-2</v>
      </c>
      <c r="EB76">
        <v>0.33115807397469732</v>
      </c>
      <c r="EC76">
        <v>0.28132573929710092</v>
      </c>
      <c r="ED76">
        <v>0.20094483235821575</v>
      </c>
      <c r="EE76">
        <v>0.15557879023684207</v>
      </c>
      <c r="EF76">
        <v>0.12986714745659717</v>
      </c>
      <c r="EG76">
        <v>0.10447057407449477</v>
      </c>
      <c r="EH76">
        <v>8.7751237095910095E-2</v>
      </c>
      <c r="EI76">
        <v>7.2212751804783343E-2</v>
      </c>
      <c r="EJ76">
        <v>5.7504885318009041E-2</v>
      </c>
      <c r="EL76">
        <v>0.37872349802082445</v>
      </c>
      <c r="EM76">
        <v>0.43310302575660153</v>
      </c>
      <c r="EN76">
        <v>0.47598633637147181</v>
      </c>
      <c r="EO76">
        <v>0.50219073827413152</v>
      </c>
      <c r="EP76">
        <v>0.51394624139611422</v>
      </c>
      <c r="EQ76">
        <v>0.51146011676762126</v>
      </c>
      <c r="ER76">
        <v>0.45045716247153045</v>
      </c>
      <c r="ES76">
        <v>0.37287668251517819</v>
      </c>
      <c r="ET76">
        <v>0.33154130563370299</v>
      </c>
      <c r="EV76">
        <v>0.62206987305726635</v>
      </c>
      <c r="EW76">
        <v>0.7121870536985293</v>
      </c>
      <c r="EX76">
        <v>0.77442375062787927</v>
      </c>
      <c r="EY76">
        <v>0.79167285679447563</v>
      </c>
      <c r="EZ76">
        <v>0.74795278027484291</v>
      </c>
      <c r="FA76">
        <v>0.72429581158821787</v>
      </c>
      <c r="FB76">
        <v>0.65182678441404063</v>
      </c>
      <c r="FC76">
        <v>0.58595925659667392</v>
      </c>
      <c r="FD76">
        <v>0.50472284319257621</v>
      </c>
      <c r="FF76">
        <v>1.7114731804565391E-2</v>
      </c>
      <c r="FG76">
        <v>2.155152935378422E-2</v>
      </c>
      <c r="FH76">
        <v>2.6551054454777446E-2</v>
      </c>
      <c r="FI76">
        <v>3.3394435150268145E-2</v>
      </c>
      <c r="FJ76">
        <v>5.144255961579363E-2</v>
      </c>
      <c r="FK76">
        <v>7.9952159727082653E-2</v>
      </c>
      <c r="FL76">
        <v>0.11825681163936042</v>
      </c>
      <c r="FM76">
        <v>0.16517957775665665</v>
      </c>
      <c r="FN76">
        <v>0.22671006745377245</v>
      </c>
      <c r="FP76">
        <v>2.6447213788291193E-2</v>
      </c>
      <c r="FQ76">
        <v>3.3039535620788776E-2</v>
      </c>
      <c r="FR76">
        <v>4.0983900479961768E-2</v>
      </c>
      <c r="FS76">
        <v>5.1817133813861688E-2</v>
      </c>
      <c r="FT76">
        <v>8.1168173809939181E-2</v>
      </c>
      <c r="FU76">
        <v>0.12422866656784359</v>
      </c>
      <c r="FV76">
        <v>0.18565266756060916</v>
      </c>
      <c r="FW76">
        <v>0.27640359914537943</v>
      </c>
      <c r="FX76">
        <v>0.39038792848268111</v>
      </c>
      <c r="FZ76">
        <v>4.8642446272773613E-3</v>
      </c>
      <c r="GA76">
        <v>5.3387167841272721E-3</v>
      </c>
      <c r="GB76">
        <v>5.7306363907894294E-3</v>
      </c>
      <c r="GC76">
        <v>6.2260344674556411E-3</v>
      </c>
      <c r="GD76">
        <v>6.978420714693765E-3</v>
      </c>
      <c r="GE76">
        <v>7.7756169799730462E-3</v>
      </c>
      <c r="GF76">
        <v>8.6374186021272014E-3</v>
      </c>
      <c r="GG76">
        <v>9.5773152795507657E-3</v>
      </c>
      <c r="GH76">
        <v>1.1070687336131571E-2</v>
      </c>
      <c r="GJ76">
        <v>7.1476414400991626E-3</v>
      </c>
      <c r="GK76">
        <v>7.8285550557617954E-3</v>
      </c>
      <c r="GL76">
        <v>8.5512395759780972E-3</v>
      </c>
      <c r="GM76">
        <v>9.3896587875680459E-3</v>
      </c>
      <c r="GN76">
        <v>1.0419747940424192E-2</v>
      </c>
      <c r="GO76">
        <v>1.1557571859204771E-2</v>
      </c>
      <c r="GP76">
        <v>1.2870202792607786E-2</v>
      </c>
      <c r="GQ76">
        <v>1.4382932814342235E-2</v>
      </c>
      <c r="GR76">
        <v>1.6470887664641946E-2</v>
      </c>
      <c r="GS76">
        <v>2.0941757837101317E-2</v>
      </c>
    </row>
    <row r="77" spans="2:201">
      <c r="B77">
        <v>4.6853087472684268E-2</v>
      </c>
      <c r="C77">
        <v>3.3127910162250272E-2</v>
      </c>
      <c r="D77">
        <v>2.4895844403156592E-2</v>
      </c>
      <c r="E77">
        <v>1.877457369227931E-2</v>
      </c>
      <c r="F77">
        <v>7.99511523909433E-3</v>
      </c>
      <c r="G77">
        <v>3.2810519975880068E-4</v>
      </c>
      <c r="H77">
        <v>0</v>
      </c>
      <c r="I77">
        <v>0</v>
      </c>
      <c r="J77">
        <v>0</v>
      </c>
      <c r="L77">
        <v>2.8551030738480174E-2</v>
      </c>
      <c r="M77">
        <v>1.9471783694186732E-2</v>
      </c>
      <c r="N77">
        <v>1.3607142177693276E-2</v>
      </c>
      <c r="O77">
        <v>1.0159546633538611E-2</v>
      </c>
      <c r="P77">
        <v>4.9984378626521291E-3</v>
      </c>
      <c r="Q77">
        <v>3.9118743447815894E-4</v>
      </c>
      <c r="R77">
        <v>0</v>
      </c>
      <c r="S77">
        <v>0</v>
      </c>
      <c r="T77">
        <v>0</v>
      </c>
      <c r="V77">
        <v>0.24983369420103416</v>
      </c>
      <c r="W77">
        <v>0.1864232687712874</v>
      </c>
      <c r="X77">
        <v>0.14742546384596383</v>
      </c>
      <c r="Y77">
        <v>0.14427084042089278</v>
      </c>
      <c r="Z77">
        <v>0.13986864257225021</v>
      </c>
      <c r="AA77">
        <v>0.12876116824477446</v>
      </c>
      <c r="AB77">
        <v>0.11301982416596353</v>
      </c>
      <c r="AC77">
        <v>9.7229941105211187E-2</v>
      </c>
      <c r="AD77">
        <v>7.8038643646596878E-2</v>
      </c>
      <c r="AF77">
        <v>0.32983366952491666</v>
      </c>
      <c r="AG77">
        <v>0.26056795746328726</v>
      </c>
      <c r="AH77">
        <v>0.17840831763132647</v>
      </c>
      <c r="AI77">
        <v>0.13981789696580876</v>
      </c>
      <c r="AJ77">
        <v>0.11331045627146069</v>
      </c>
      <c r="AK77">
        <v>8.8502636995285489E-2</v>
      </c>
      <c r="AL77">
        <v>7.3377867590397508E-2</v>
      </c>
      <c r="AM77">
        <v>5.9576173076160061E-2</v>
      </c>
      <c r="AN77">
        <v>4.6874466879705083E-2</v>
      </c>
      <c r="AP77">
        <v>0.26638306117191929</v>
      </c>
      <c r="AQ77">
        <v>0.31095209032344334</v>
      </c>
      <c r="AR77">
        <v>0.35879659537128722</v>
      </c>
      <c r="AS77">
        <v>0.38829136999945019</v>
      </c>
      <c r="AT77">
        <v>0.37861969212412494</v>
      </c>
      <c r="AU77">
        <v>0.35589376365302822</v>
      </c>
      <c r="AV77">
        <v>0.30516162323487395</v>
      </c>
      <c r="AW77">
        <v>0.25344840145422026</v>
      </c>
      <c r="AX77">
        <v>0.24330111017655681</v>
      </c>
      <c r="AZ77">
        <v>0.58376160911296526</v>
      </c>
      <c r="BA77">
        <v>0.6754363691933154</v>
      </c>
      <c r="BB77">
        <v>0.72998371607786405</v>
      </c>
      <c r="BC77">
        <v>0.7402380219896354</v>
      </c>
      <c r="BD77">
        <v>0.58900138326072371</v>
      </c>
      <c r="BE77">
        <v>0.39204838730298924</v>
      </c>
      <c r="BF77">
        <v>0.62708502869148508</v>
      </c>
      <c r="BG77">
        <v>0.54333244319601992</v>
      </c>
      <c r="BH77">
        <v>0.47565030199395586</v>
      </c>
      <c r="BJ77">
        <v>1.2213155921209308E-2</v>
      </c>
      <c r="BK77">
        <v>1.6311610335102724E-2</v>
      </c>
      <c r="BL77">
        <v>2.1139519274913154E-2</v>
      </c>
      <c r="BM77">
        <v>2.7560411878338527E-2</v>
      </c>
      <c r="BN77">
        <v>4.1123276391256833E-2</v>
      </c>
      <c r="BO77">
        <v>6.3180791217924193E-2</v>
      </c>
      <c r="BP77">
        <v>9.0879326393306009E-2</v>
      </c>
      <c r="BQ77">
        <v>0.12340263187487502</v>
      </c>
      <c r="BR77">
        <v>0.16649499437342299</v>
      </c>
      <c r="BT77">
        <v>2.6575084597122559E-2</v>
      </c>
      <c r="BU77">
        <v>3.3018876307136305E-2</v>
      </c>
      <c r="BV77">
        <v>4.0587044320164932E-2</v>
      </c>
      <c r="BW77">
        <v>5.037176808309949E-2</v>
      </c>
      <c r="BX77">
        <v>7.7385250953319357E-2</v>
      </c>
      <c r="BY77">
        <v>0.11833329709658069</v>
      </c>
      <c r="BZ77">
        <v>0.17243915760632483</v>
      </c>
      <c r="CA77">
        <v>0.24931689265077092</v>
      </c>
      <c r="CB77">
        <v>0.35977523579854037</v>
      </c>
      <c r="CD77">
        <v>3.6298924605339157E-3</v>
      </c>
      <c r="CE77">
        <v>3.905930542081262E-3</v>
      </c>
      <c r="CF77">
        <v>4.1126013238568454E-3</v>
      </c>
      <c r="CG77">
        <v>4.3952398548598639E-3</v>
      </c>
      <c r="CH77">
        <v>4.8957573700859954E-3</v>
      </c>
      <c r="CI77">
        <v>5.4847842343978383E-3</v>
      </c>
      <c r="CJ77">
        <v>6.0308155891740474E-3</v>
      </c>
      <c r="CK77">
        <v>6.4909460844619375E-3</v>
      </c>
      <c r="CL77">
        <v>7.4794923369116409E-3</v>
      </c>
      <c r="CN77">
        <v>7.3387229062154792E-3</v>
      </c>
      <c r="CO77">
        <v>8.0294933429117307E-3</v>
      </c>
      <c r="CP77">
        <v>8.8289697098351966E-3</v>
      </c>
      <c r="CQ77">
        <v>9.7326966639482756E-3</v>
      </c>
      <c r="CR77">
        <v>1.0755984787909924E-2</v>
      </c>
      <c r="CS77">
        <v>1.1944338804497195E-2</v>
      </c>
      <c r="CT77">
        <v>1.3279152780835456E-2</v>
      </c>
      <c r="CU77">
        <v>1.4746411747365075E-2</v>
      </c>
      <c r="CV77">
        <v>1.6703397115211863E-2</v>
      </c>
      <c r="CX77">
        <v>4.6853087472684268E-2</v>
      </c>
      <c r="CY77">
        <v>3.3127910162250272E-2</v>
      </c>
      <c r="CZ77">
        <v>2.4895844403156592E-2</v>
      </c>
      <c r="DA77">
        <v>1.877457369227931E-2</v>
      </c>
      <c r="DB77">
        <v>7.99511523909433E-3</v>
      </c>
      <c r="DC77">
        <v>3.2810519975880068E-4</v>
      </c>
      <c r="DD77">
        <v>0</v>
      </c>
      <c r="DE77">
        <v>0</v>
      </c>
      <c r="DF77">
        <v>0</v>
      </c>
      <c r="DH77">
        <v>2.8551030738480174E-2</v>
      </c>
      <c r="DI77">
        <v>1.9471783694186732E-2</v>
      </c>
      <c r="DJ77">
        <v>1.3607142177693276E-2</v>
      </c>
      <c r="DK77">
        <v>1.0159546633538611E-2</v>
      </c>
      <c r="DL77">
        <v>4.9984378626521291E-3</v>
      </c>
      <c r="DM77">
        <v>3.9118743447815894E-4</v>
      </c>
      <c r="DN77">
        <v>0</v>
      </c>
      <c r="DO77">
        <v>0</v>
      </c>
      <c r="DP77">
        <v>0</v>
      </c>
      <c r="DR77">
        <v>0.24983369420103416</v>
      </c>
      <c r="DS77">
        <v>0.1864232687712874</v>
      </c>
      <c r="DT77">
        <v>0.14742546384596383</v>
      </c>
      <c r="DU77">
        <v>0.14427084042089278</v>
      </c>
      <c r="DV77">
        <v>0.13986864257225021</v>
      </c>
      <c r="DW77">
        <v>0.12876116824477446</v>
      </c>
      <c r="DX77">
        <v>0.11301982416596353</v>
      </c>
      <c r="DY77">
        <v>9.7229941105211187E-2</v>
      </c>
      <c r="DZ77">
        <v>7.8038643646596878E-2</v>
      </c>
      <c r="EB77">
        <v>0.32983366952491666</v>
      </c>
      <c r="EC77">
        <v>0.26056795746328726</v>
      </c>
      <c r="ED77">
        <v>0.17840831763132647</v>
      </c>
      <c r="EE77">
        <v>0.13981789696580876</v>
      </c>
      <c r="EF77">
        <v>0.11331045627146069</v>
      </c>
      <c r="EG77">
        <v>8.8502636995285489E-2</v>
      </c>
      <c r="EH77">
        <v>7.3377867590397508E-2</v>
      </c>
      <c r="EI77">
        <v>5.9576173076160061E-2</v>
      </c>
      <c r="EJ77">
        <v>4.6874466879705083E-2</v>
      </c>
      <c r="EL77">
        <v>0.26638306117191929</v>
      </c>
      <c r="EM77">
        <v>0.31095209032344334</v>
      </c>
      <c r="EN77">
        <v>0.35879659537128722</v>
      </c>
      <c r="EO77">
        <v>0.38829136999945019</v>
      </c>
      <c r="EP77">
        <v>0.37861969212412494</v>
      </c>
      <c r="EQ77">
        <v>0.35589376365302822</v>
      </c>
      <c r="ER77">
        <v>0.30516162323487395</v>
      </c>
      <c r="ES77">
        <v>0.25344840145422026</v>
      </c>
      <c r="ET77">
        <v>0.24330111017655681</v>
      </c>
      <c r="EV77">
        <v>0.58376160911296526</v>
      </c>
      <c r="EW77">
        <v>0.6754363691933154</v>
      </c>
      <c r="EX77">
        <v>0.72998371607786405</v>
      </c>
      <c r="EY77">
        <v>0.7402380219896354</v>
      </c>
      <c r="EZ77">
        <v>0.58900138326072371</v>
      </c>
      <c r="FA77">
        <v>0.39204838730298924</v>
      </c>
      <c r="FB77">
        <v>0.62708502869148508</v>
      </c>
      <c r="FC77">
        <v>0.54333244319601992</v>
      </c>
      <c r="FD77">
        <v>0.47565030199395586</v>
      </c>
      <c r="FF77">
        <v>1.2213155921209308E-2</v>
      </c>
      <c r="FG77">
        <v>1.6311610335102724E-2</v>
      </c>
      <c r="FH77">
        <v>2.1139519274913154E-2</v>
      </c>
      <c r="FI77">
        <v>2.7560411878338527E-2</v>
      </c>
      <c r="FJ77">
        <v>4.1123276391256833E-2</v>
      </c>
      <c r="FK77">
        <v>6.3180791217924193E-2</v>
      </c>
      <c r="FL77">
        <v>9.0879326393306009E-2</v>
      </c>
      <c r="FM77">
        <v>0.12340263187487502</v>
      </c>
      <c r="FN77">
        <v>0.16649499437342299</v>
      </c>
      <c r="FP77">
        <v>2.6575084597122559E-2</v>
      </c>
      <c r="FQ77">
        <v>3.3018876307136305E-2</v>
      </c>
      <c r="FR77">
        <v>4.0587044320164932E-2</v>
      </c>
      <c r="FS77">
        <v>5.037176808309949E-2</v>
      </c>
      <c r="FT77">
        <v>7.7385250953319357E-2</v>
      </c>
      <c r="FU77">
        <v>0.11833329709658069</v>
      </c>
      <c r="FV77">
        <v>0.17243915760632483</v>
      </c>
      <c r="FW77">
        <v>0.24931689265077092</v>
      </c>
      <c r="FX77">
        <v>0.35977523579854037</v>
      </c>
      <c r="FZ77">
        <v>3.6298924605339157E-3</v>
      </c>
      <c r="GA77">
        <v>3.905930542081262E-3</v>
      </c>
      <c r="GB77">
        <v>4.1126013238568454E-3</v>
      </c>
      <c r="GC77">
        <v>4.3952398548598639E-3</v>
      </c>
      <c r="GD77">
        <v>4.8957573700859954E-3</v>
      </c>
      <c r="GE77">
        <v>5.4847842343978383E-3</v>
      </c>
      <c r="GF77">
        <v>6.0308155891740474E-3</v>
      </c>
      <c r="GG77">
        <v>6.4909460844619375E-3</v>
      </c>
      <c r="GH77">
        <v>7.4794923369116409E-3</v>
      </c>
      <c r="GJ77">
        <v>7.3387229062154792E-3</v>
      </c>
      <c r="GK77">
        <v>8.0294933429117307E-3</v>
      </c>
      <c r="GL77">
        <v>8.8289697098351966E-3</v>
      </c>
      <c r="GM77">
        <v>9.7326966639482756E-3</v>
      </c>
      <c r="GN77">
        <v>1.0755984787909924E-2</v>
      </c>
      <c r="GO77">
        <v>1.1944338804497195E-2</v>
      </c>
      <c r="GP77">
        <v>1.3279152780835456E-2</v>
      </c>
      <c r="GQ77">
        <v>1.4746411747365075E-2</v>
      </c>
      <c r="GR77">
        <v>1.6703397115211863E-2</v>
      </c>
      <c r="GS77">
        <v>2.1112913001208704E-2</v>
      </c>
    </row>
    <row r="78" spans="2:201">
      <c r="B78">
        <v>4.5831174492760376E-2</v>
      </c>
      <c r="C78">
        <v>3.448938308971599E-2</v>
      </c>
      <c r="D78">
        <v>2.7156834988931084E-2</v>
      </c>
      <c r="E78">
        <v>2.0943176918076047E-2</v>
      </c>
      <c r="F78">
        <v>8.1909897880440476E-3</v>
      </c>
      <c r="G78">
        <v>8.8349157529783723E-5</v>
      </c>
      <c r="H78">
        <v>0</v>
      </c>
      <c r="I78">
        <v>0</v>
      </c>
      <c r="J78">
        <v>0</v>
      </c>
      <c r="L78">
        <v>1.8366291446778038E-2</v>
      </c>
      <c r="M78">
        <v>1.3048779818263417E-2</v>
      </c>
      <c r="N78">
        <v>9.5379297269477577E-3</v>
      </c>
      <c r="O78">
        <v>7.4036845480968932E-3</v>
      </c>
      <c r="P78">
        <v>3.7103234012581129E-3</v>
      </c>
      <c r="Q78">
        <v>2.8215952661298996E-4</v>
      </c>
      <c r="R78">
        <v>0</v>
      </c>
      <c r="S78">
        <v>0</v>
      </c>
      <c r="T78">
        <v>0</v>
      </c>
      <c r="V78">
        <v>0.19524520902206574</v>
      </c>
      <c r="W78">
        <v>0.15117920028582574</v>
      </c>
      <c r="X78">
        <v>0.12345756202665999</v>
      </c>
      <c r="Y78">
        <v>0.11422568018093071</v>
      </c>
      <c r="Z78">
        <v>0.11797834981187055</v>
      </c>
      <c r="AA78">
        <v>0.11907493335333584</v>
      </c>
      <c r="AB78">
        <v>0.10882736349291301</v>
      </c>
      <c r="AC78">
        <v>9.5586884764712013E-2</v>
      </c>
      <c r="AD78">
        <v>7.8599276354716183E-2</v>
      </c>
      <c r="AF78">
        <v>0.26257213068968988</v>
      </c>
      <c r="AG78">
        <v>0.1750126179778331</v>
      </c>
      <c r="AH78">
        <v>0.11757684287336931</v>
      </c>
      <c r="AI78">
        <v>0.10286678246725121</v>
      </c>
      <c r="AJ78">
        <v>8.238025423736911E-2</v>
      </c>
      <c r="AK78">
        <v>6.2505033424253661E-2</v>
      </c>
      <c r="AL78">
        <v>5.0001893749513221E-2</v>
      </c>
      <c r="AM78">
        <v>3.9695549972870323E-2</v>
      </c>
      <c r="AN78">
        <v>3.0467524853013926E-2</v>
      </c>
      <c r="AP78">
        <v>0.1893597514703351</v>
      </c>
      <c r="AQ78">
        <v>0.22608533430873676</v>
      </c>
      <c r="AR78">
        <v>0.26506019581945134</v>
      </c>
      <c r="AS78">
        <v>0.29304983278772884</v>
      </c>
      <c r="AT78">
        <v>0.28227937285533555</v>
      </c>
      <c r="AU78">
        <v>0.2441800855648972</v>
      </c>
      <c r="AV78">
        <v>0.19229924601042522</v>
      </c>
      <c r="AW78">
        <v>0.17088394045179656</v>
      </c>
      <c r="AX78">
        <v>0.18156890688177771</v>
      </c>
      <c r="AZ78">
        <v>0.25553477459858281</v>
      </c>
      <c r="BA78">
        <v>0.29906749975007146</v>
      </c>
      <c r="BB78">
        <v>0.34660881860447273</v>
      </c>
      <c r="BC78">
        <v>0.36996219179113182</v>
      </c>
      <c r="BD78">
        <v>0.38040762535727718</v>
      </c>
      <c r="BE78">
        <v>0.39792989130894174</v>
      </c>
      <c r="BF78">
        <v>0.37233969608866108</v>
      </c>
      <c r="BG78">
        <v>0.30173758864839445</v>
      </c>
      <c r="BH78">
        <v>0.30489259964961624</v>
      </c>
      <c r="BJ78">
        <v>1.0518091174820913E-2</v>
      </c>
      <c r="BK78">
        <v>1.3768642916314177E-2</v>
      </c>
      <c r="BL78">
        <v>1.7890359301402963E-2</v>
      </c>
      <c r="BM78">
        <v>2.3069858355669867E-2</v>
      </c>
      <c r="BN78">
        <v>3.1484368390964461E-2</v>
      </c>
      <c r="BO78">
        <v>4.6698300237388336E-2</v>
      </c>
      <c r="BP78">
        <v>6.7019142189063116E-2</v>
      </c>
      <c r="BQ78">
        <v>9.3417032981961842E-2</v>
      </c>
      <c r="BR78">
        <v>0.12503151225644046</v>
      </c>
      <c r="BT78">
        <v>1.5564415807796574E-2</v>
      </c>
      <c r="BU78">
        <v>1.9035362650606444E-2</v>
      </c>
      <c r="BV78">
        <v>2.3030843750932471E-2</v>
      </c>
      <c r="BW78">
        <v>2.8375173861968229E-2</v>
      </c>
      <c r="BX78">
        <v>4.2673876265264615E-2</v>
      </c>
      <c r="BY78">
        <v>6.2271921607296422E-2</v>
      </c>
      <c r="BZ78">
        <v>8.7368234368928932E-2</v>
      </c>
      <c r="CA78">
        <v>0.12068384968273867</v>
      </c>
      <c r="CB78">
        <v>0.16228191798443081</v>
      </c>
      <c r="CD78">
        <v>2.3914729361363741E-3</v>
      </c>
      <c r="CE78">
        <v>2.4960676905486489E-3</v>
      </c>
      <c r="CF78">
        <v>2.6093445634571308E-3</v>
      </c>
      <c r="CG78">
        <v>2.95325158786388E-3</v>
      </c>
      <c r="CH78">
        <v>3.5198354339055775E-3</v>
      </c>
      <c r="CI78">
        <v>4.2311712241707095E-3</v>
      </c>
      <c r="CJ78">
        <v>4.9189845661998443E-3</v>
      </c>
      <c r="CK78">
        <v>5.5288283290259926E-3</v>
      </c>
      <c r="CL78">
        <v>6.5725610965338584E-3</v>
      </c>
      <c r="CN78">
        <v>4.5162686882164477E-3</v>
      </c>
      <c r="CO78">
        <v>4.940648691075706E-3</v>
      </c>
      <c r="CP78">
        <v>5.3393991220233774E-3</v>
      </c>
      <c r="CQ78">
        <v>5.8136451840629386E-3</v>
      </c>
      <c r="CR78">
        <v>6.4531578689123979E-3</v>
      </c>
      <c r="CS78">
        <v>7.1134200882558589E-3</v>
      </c>
      <c r="CT78">
        <v>7.8824355046660279E-3</v>
      </c>
      <c r="CU78">
        <v>8.7940583289781212E-3</v>
      </c>
      <c r="CV78">
        <v>1.007311357224876E-2</v>
      </c>
      <c r="CX78">
        <v>4.5831174492760376E-2</v>
      </c>
      <c r="CY78">
        <v>3.448938308971599E-2</v>
      </c>
      <c r="CZ78">
        <v>2.7156834988931084E-2</v>
      </c>
      <c r="DA78">
        <v>2.0943176918076047E-2</v>
      </c>
      <c r="DB78">
        <v>8.1909897880440476E-3</v>
      </c>
      <c r="DC78">
        <v>8.8349157529783723E-5</v>
      </c>
      <c r="DD78">
        <v>0</v>
      </c>
      <c r="DE78">
        <v>0</v>
      </c>
      <c r="DF78">
        <v>0</v>
      </c>
      <c r="DH78">
        <v>1.8366291446778038E-2</v>
      </c>
      <c r="DI78">
        <v>1.3048779818263417E-2</v>
      </c>
      <c r="DJ78">
        <v>9.5379297269477577E-3</v>
      </c>
      <c r="DK78">
        <v>7.4036845480968932E-3</v>
      </c>
      <c r="DL78">
        <v>3.7103234012581129E-3</v>
      </c>
      <c r="DM78">
        <v>2.8215952661298996E-4</v>
      </c>
      <c r="DN78">
        <v>0</v>
      </c>
      <c r="DO78">
        <v>0</v>
      </c>
      <c r="DP78">
        <v>0</v>
      </c>
      <c r="DR78">
        <v>0.19524520902206574</v>
      </c>
      <c r="DS78">
        <v>0.15117920028582574</v>
      </c>
      <c r="DT78">
        <v>0.12345756202665999</v>
      </c>
      <c r="DU78">
        <v>0.11422568018093071</v>
      </c>
      <c r="DV78">
        <v>0.11797834981187055</v>
      </c>
      <c r="DW78">
        <v>0.11907493335333584</v>
      </c>
      <c r="DX78">
        <v>0.10882736349291301</v>
      </c>
      <c r="DY78">
        <v>9.5586884764712013E-2</v>
      </c>
      <c r="DZ78">
        <v>7.8599276354716183E-2</v>
      </c>
      <c r="EB78">
        <v>0.26257213068968988</v>
      </c>
      <c r="EC78">
        <v>0.1750126179778331</v>
      </c>
      <c r="ED78">
        <v>0.11757684287336931</v>
      </c>
      <c r="EE78">
        <v>0.10286678246725121</v>
      </c>
      <c r="EF78">
        <v>8.238025423736911E-2</v>
      </c>
      <c r="EG78">
        <v>6.2505033424253661E-2</v>
      </c>
      <c r="EH78">
        <v>5.0001893749513221E-2</v>
      </c>
      <c r="EI78">
        <v>3.9695549972870323E-2</v>
      </c>
      <c r="EJ78">
        <v>3.0467524853013926E-2</v>
      </c>
      <c r="EL78">
        <v>0.1893597514703351</v>
      </c>
      <c r="EM78">
        <v>0.22608533430873676</v>
      </c>
      <c r="EN78">
        <v>0.26506019581945134</v>
      </c>
      <c r="EO78">
        <v>0.29304983278772884</v>
      </c>
      <c r="EP78">
        <v>0.28227937285533555</v>
      </c>
      <c r="EQ78">
        <v>0.2441800855648972</v>
      </c>
      <c r="ER78">
        <v>0.19229924601042522</v>
      </c>
      <c r="ES78">
        <v>0.17088394045179656</v>
      </c>
      <c r="ET78">
        <v>0.18156890688177771</v>
      </c>
      <c r="EV78">
        <v>0.25553477459858281</v>
      </c>
      <c r="EW78">
        <v>0.29906749975007146</v>
      </c>
      <c r="EX78">
        <v>0.34660881860447273</v>
      </c>
      <c r="EY78">
        <v>0.36996219179113182</v>
      </c>
      <c r="EZ78">
        <v>0.38040762535727718</v>
      </c>
      <c r="FA78">
        <v>0.39792989130894174</v>
      </c>
      <c r="FB78">
        <v>0.37233969608866108</v>
      </c>
      <c r="FC78">
        <v>0.30173758864839445</v>
      </c>
      <c r="FD78">
        <v>0.30489259964961624</v>
      </c>
      <c r="FF78">
        <v>1.0518091174820913E-2</v>
      </c>
      <c r="FG78">
        <v>1.3768642916314177E-2</v>
      </c>
      <c r="FH78">
        <v>1.7890359301402963E-2</v>
      </c>
      <c r="FI78">
        <v>2.3069858355669867E-2</v>
      </c>
      <c r="FJ78">
        <v>3.1484368390964461E-2</v>
      </c>
      <c r="FK78">
        <v>4.6698300237388336E-2</v>
      </c>
      <c r="FL78">
        <v>6.7019142189063116E-2</v>
      </c>
      <c r="FM78">
        <v>9.3417032981961842E-2</v>
      </c>
      <c r="FN78">
        <v>0.12503151225644046</v>
      </c>
      <c r="FP78">
        <v>1.5564415807796574E-2</v>
      </c>
      <c r="FQ78">
        <v>1.9035362650606444E-2</v>
      </c>
      <c r="FR78">
        <v>2.3030843750932471E-2</v>
      </c>
      <c r="FS78">
        <v>2.8375173861968229E-2</v>
      </c>
      <c r="FT78">
        <v>4.2673876265264615E-2</v>
      </c>
      <c r="FU78">
        <v>6.2271921607296422E-2</v>
      </c>
      <c r="FV78">
        <v>8.7368234368928932E-2</v>
      </c>
      <c r="FW78">
        <v>0.12068384968273867</v>
      </c>
      <c r="FX78">
        <v>0.16228191798443081</v>
      </c>
      <c r="FZ78">
        <v>2.3914729361363741E-3</v>
      </c>
      <c r="GA78">
        <v>2.4960676905486489E-3</v>
      </c>
      <c r="GB78">
        <v>2.6093445634571308E-3</v>
      </c>
      <c r="GC78">
        <v>2.95325158786388E-3</v>
      </c>
      <c r="GD78">
        <v>3.5198354339055775E-3</v>
      </c>
      <c r="GE78">
        <v>4.2311712241707095E-3</v>
      </c>
      <c r="GF78">
        <v>4.9189845661998443E-3</v>
      </c>
      <c r="GG78">
        <v>5.5288283290259926E-3</v>
      </c>
      <c r="GH78">
        <v>6.5725610965338584E-3</v>
      </c>
      <c r="GJ78">
        <v>4.5162686882164477E-3</v>
      </c>
      <c r="GK78">
        <v>4.940648691075706E-3</v>
      </c>
      <c r="GL78">
        <v>5.3393991220233774E-3</v>
      </c>
      <c r="GM78">
        <v>5.8136451840629386E-3</v>
      </c>
      <c r="GN78">
        <v>6.4531578689123979E-3</v>
      </c>
      <c r="GO78">
        <v>7.1134200882558589E-3</v>
      </c>
      <c r="GP78">
        <v>7.8824355046660279E-3</v>
      </c>
      <c r="GQ78">
        <v>8.7940583289781212E-3</v>
      </c>
      <c r="GR78">
        <v>1.007311357224876E-2</v>
      </c>
      <c r="GS78">
        <v>1.2600725825907488E-2</v>
      </c>
    </row>
    <row r="79" spans="2:201">
      <c r="B79">
        <v>4.3770615721004373E-2</v>
      </c>
      <c r="C79">
        <v>3.4952195191517869E-2</v>
      </c>
      <c r="D79">
        <v>2.8055328766445224E-2</v>
      </c>
      <c r="E79">
        <v>2.1573268963149428E-2</v>
      </c>
      <c r="F79">
        <v>7.6016121179760089E-3</v>
      </c>
      <c r="G79">
        <v>0</v>
      </c>
      <c r="H79">
        <v>0</v>
      </c>
      <c r="I79">
        <v>0</v>
      </c>
      <c r="J79">
        <v>0</v>
      </c>
      <c r="L79">
        <v>1.0769382397549744E-2</v>
      </c>
      <c r="M79">
        <v>8.0421928600225949E-3</v>
      </c>
      <c r="N79">
        <v>6.1220893554853016E-3</v>
      </c>
      <c r="O79">
        <v>4.9103518327499856E-3</v>
      </c>
      <c r="P79">
        <v>2.4319602779633563E-3</v>
      </c>
      <c r="Q79">
        <v>1.6395344083067139E-4</v>
      </c>
      <c r="R79">
        <v>0</v>
      </c>
      <c r="S79">
        <v>0</v>
      </c>
      <c r="T79">
        <v>0</v>
      </c>
      <c r="V79">
        <v>0.13620639741526175</v>
      </c>
      <c r="W79">
        <v>0.11934649672047898</v>
      </c>
      <c r="X79">
        <v>0.10632315824889117</v>
      </c>
      <c r="Y79">
        <v>9.005541481655345E-2</v>
      </c>
      <c r="Z79">
        <v>8.9690115674580878E-2</v>
      </c>
      <c r="AA79">
        <v>9.9134429384028541E-2</v>
      </c>
      <c r="AB79">
        <v>9.6916279281452342E-2</v>
      </c>
      <c r="AC79">
        <v>8.6338145816287529E-2</v>
      </c>
      <c r="AD79">
        <v>7.3255772392376947E-2</v>
      </c>
      <c r="AF79">
        <v>7.7326307082223308E-2</v>
      </c>
      <c r="AG79">
        <v>5.4804613998252948E-2</v>
      </c>
      <c r="AH79">
        <v>4.5446976396802313E-2</v>
      </c>
      <c r="AI79">
        <v>5.3457100690871513E-2</v>
      </c>
      <c r="AJ79">
        <v>4.2421449726726825E-2</v>
      </c>
      <c r="AK79">
        <v>3.0858626045905772E-2</v>
      </c>
      <c r="AL79">
        <v>2.5315859024067699E-2</v>
      </c>
      <c r="AM79">
        <v>2.0057586854477536E-2</v>
      </c>
      <c r="AN79">
        <v>1.683948278220105E-2</v>
      </c>
      <c r="AP79">
        <v>0.13835614276816605</v>
      </c>
      <c r="AQ79">
        <v>0.16616925910672398</v>
      </c>
      <c r="AR79">
        <v>0.19472435655183337</v>
      </c>
      <c r="AS79">
        <v>0.22056141345077543</v>
      </c>
      <c r="AT79">
        <v>0.20013787947708417</v>
      </c>
      <c r="AU79">
        <v>0.16175348155102526</v>
      </c>
      <c r="AV79">
        <v>0.13316688496852483</v>
      </c>
      <c r="AW79">
        <v>0.13089132592216546</v>
      </c>
      <c r="AX79">
        <v>0.13125441129286544</v>
      </c>
      <c r="AZ79">
        <v>9.283791662784166E-2</v>
      </c>
      <c r="BA79">
        <v>0.10121027098130066</v>
      </c>
      <c r="BB79">
        <v>0.10648326312333777</v>
      </c>
      <c r="BC79">
        <v>0.12062271386843236</v>
      </c>
      <c r="BD79">
        <v>0.12791764090354565</v>
      </c>
      <c r="BE79">
        <v>0.14802163813339969</v>
      </c>
      <c r="BF79">
        <v>0.1469086187445631</v>
      </c>
      <c r="BG79">
        <v>9.8100381182020163E-2</v>
      </c>
      <c r="BH79">
        <v>8.3253302064731097E-2</v>
      </c>
      <c r="BJ79">
        <v>8.5207852738516752E-3</v>
      </c>
      <c r="BK79">
        <v>1.0985825005219978E-2</v>
      </c>
      <c r="BL79">
        <v>1.4434032703660839E-2</v>
      </c>
      <c r="BM79">
        <v>1.9418687926266661E-2</v>
      </c>
      <c r="BN79">
        <v>2.7034936379348874E-2</v>
      </c>
      <c r="BO79">
        <v>4.0505513077782079E-2</v>
      </c>
      <c r="BP79">
        <v>5.6580066084944376E-2</v>
      </c>
      <c r="BQ79">
        <v>7.6487325493960645E-2</v>
      </c>
      <c r="BR79">
        <v>9.7226237650486061E-2</v>
      </c>
      <c r="BT79">
        <v>8.1703827503005252E-3</v>
      </c>
      <c r="BU79">
        <v>9.8287954142921557E-3</v>
      </c>
      <c r="BV79">
        <v>1.1501455573563567E-2</v>
      </c>
      <c r="BW79">
        <v>1.3642236609313404E-2</v>
      </c>
      <c r="BX79">
        <v>1.915894270044147E-2</v>
      </c>
      <c r="BY79">
        <v>2.675304380773888E-2</v>
      </c>
      <c r="BZ79">
        <v>3.6043819155473902E-2</v>
      </c>
      <c r="CA79">
        <v>4.6851595881812487E-2</v>
      </c>
      <c r="CB79">
        <v>6.1683753985767524E-2</v>
      </c>
      <c r="CD79">
        <v>2.0036413420074176E-3</v>
      </c>
      <c r="CE79">
        <v>2.2240668474157563E-3</v>
      </c>
      <c r="CF79">
        <v>2.4397610170813835E-3</v>
      </c>
      <c r="CG79">
        <v>2.7226599723569581E-3</v>
      </c>
      <c r="CH79">
        <v>3.192675300053014E-3</v>
      </c>
      <c r="CI79">
        <v>3.7722029414720931E-3</v>
      </c>
      <c r="CJ79">
        <v>4.3411519021074804E-3</v>
      </c>
      <c r="CK79">
        <v>4.8165135925846824E-3</v>
      </c>
      <c r="CL79">
        <v>5.5125018293153086E-3</v>
      </c>
      <c r="CN79">
        <v>2.7156592814285775E-3</v>
      </c>
      <c r="CO79">
        <v>2.9658831205183265E-3</v>
      </c>
      <c r="CP79">
        <v>3.1646367479040349E-3</v>
      </c>
      <c r="CQ79">
        <v>3.4138593485348958E-3</v>
      </c>
      <c r="CR79">
        <v>3.7946220463195915E-3</v>
      </c>
      <c r="CS79">
        <v>4.1872933952528035E-3</v>
      </c>
      <c r="CT79">
        <v>4.599535179039535E-3</v>
      </c>
      <c r="CU79">
        <v>5.0346578057808697E-3</v>
      </c>
      <c r="CV79">
        <v>5.7155641155170103E-3</v>
      </c>
      <c r="CX79">
        <v>4.3770615721004373E-2</v>
      </c>
      <c r="CY79">
        <v>3.4952195191517869E-2</v>
      </c>
      <c r="CZ79">
        <v>2.8055328766445224E-2</v>
      </c>
      <c r="DA79">
        <v>2.1573268963149428E-2</v>
      </c>
      <c r="DB79">
        <v>7.6016121179760089E-3</v>
      </c>
      <c r="DC79">
        <v>0</v>
      </c>
      <c r="DD79">
        <v>0</v>
      </c>
      <c r="DE79">
        <v>0</v>
      </c>
      <c r="DF79">
        <v>0</v>
      </c>
      <c r="DH79">
        <v>1.0769382397549744E-2</v>
      </c>
      <c r="DI79">
        <v>8.0421928600225949E-3</v>
      </c>
      <c r="DJ79">
        <v>6.1220893554853016E-3</v>
      </c>
      <c r="DK79">
        <v>4.9103518327499856E-3</v>
      </c>
      <c r="DL79">
        <v>2.4319602779633563E-3</v>
      </c>
      <c r="DM79">
        <v>1.6395344083067139E-4</v>
      </c>
      <c r="DN79">
        <v>0</v>
      </c>
      <c r="DO79">
        <v>0</v>
      </c>
      <c r="DP79">
        <v>0</v>
      </c>
      <c r="DR79">
        <v>0.13620639741526175</v>
      </c>
      <c r="DS79">
        <v>0.11934649672047898</v>
      </c>
      <c r="DT79">
        <v>0.10632315824889117</v>
      </c>
      <c r="DU79">
        <v>9.005541481655345E-2</v>
      </c>
      <c r="DV79">
        <v>8.9690115674580878E-2</v>
      </c>
      <c r="DW79">
        <v>9.9134429384028541E-2</v>
      </c>
      <c r="DX79">
        <v>9.6916279281452342E-2</v>
      </c>
      <c r="DY79">
        <v>8.6338145816287529E-2</v>
      </c>
      <c r="DZ79">
        <v>7.3255772392376947E-2</v>
      </c>
      <c r="EB79">
        <v>7.7326307082223308E-2</v>
      </c>
      <c r="EC79">
        <v>5.4804613998252948E-2</v>
      </c>
      <c r="ED79">
        <v>4.5446976396802313E-2</v>
      </c>
      <c r="EE79">
        <v>5.3457100690871513E-2</v>
      </c>
      <c r="EF79">
        <v>4.2421449726726825E-2</v>
      </c>
      <c r="EG79">
        <v>3.0858626045905772E-2</v>
      </c>
      <c r="EH79">
        <v>2.5315859024067699E-2</v>
      </c>
      <c r="EI79">
        <v>2.0057586854477536E-2</v>
      </c>
      <c r="EJ79">
        <v>1.683948278220105E-2</v>
      </c>
      <c r="EL79">
        <v>0.13835614276816605</v>
      </c>
      <c r="EM79">
        <v>0.16616925910672398</v>
      </c>
      <c r="EN79">
        <v>0.19472435655183337</v>
      </c>
      <c r="EO79">
        <v>0.22056141345077543</v>
      </c>
      <c r="EP79">
        <v>0.20013787947708417</v>
      </c>
      <c r="EQ79">
        <v>0.16175348155102526</v>
      </c>
      <c r="ER79">
        <v>0.13316688496852483</v>
      </c>
      <c r="ES79">
        <v>0.13089132592216546</v>
      </c>
      <c r="ET79">
        <v>0.13125441129286544</v>
      </c>
      <c r="EV79">
        <v>9.283791662784166E-2</v>
      </c>
      <c r="EW79">
        <v>0.10121027098130066</v>
      </c>
      <c r="EX79">
        <v>0.10648326312333777</v>
      </c>
      <c r="EY79">
        <v>0.12062271386843236</v>
      </c>
      <c r="EZ79">
        <v>0.12791764090354565</v>
      </c>
      <c r="FA79">
        <v>0.14802163813339969</v>
      </c>
      <c r="FB79">
        <v>0.1469086187445631</v>
      </c>
      <c r="FC79">
        <v>9.8100381182020163E-2</v>
      </c>
      <c r="FD79">
        <v>8.3253302064731097E-2</v>
      </c>
      <c r="FF79">
        <v>8.5207852738516752E-3</v>
      </c>
      <c r="FG79">
        <v>1.0985825005219978E-2</v>
      </c>
      <c r="FH79">
        <v>1.4434032703660839E-2</v>
      </c>
      <c r="FI79">
        <v>1.9418687926266661E-2</v>
      </c>
      <c r="FJ79">
        <v>2.7034936379348874E-2</v>
      </c>
      <c r="FK79">
        <v>4.0505513077782079E-2</v>
      </c>
      <c r="FL79">
        <v>5.6580066084944376E-2</v>
      </c>
      <c r="FM79">
        <v>7.6487325493960645E-2</v>
      </c>
      <c r="FN79">
        <v>9.7226237650486061E-2</v>
      </c>
      <c r="FP79">
        <v>8.1703827503005252E-3</v>
      </c>
      <c r="FQ79">
        <v>9.8287954142921557E-3</v>
      </c>
      <c r="FR79">
        <v>1.1501455573563567E-2</v>
      </c>
      <c r="FS79">
        <v>1.3642236609313404E-2</v>
      </c>
      <c r="FT79">
        <v>1.915894270044147E-2</v>
      </c>
      <c r="FU79">
        <v>2.675304380773888E-2</v>
      </c>
      <c r="FV79">
        <v>3.6043819155473902E-2</v>
      </c>
      <c r="FW79">
        <v>4.6851595881812487E-2</v>
      </c>
      <c r="FX79">
        <v>6.1683753985767524E-2</v>
      </c>
      <c r="FZ79">
        <v>2.0036413420074176E-3</v>
      </c>
      <c r="GA79">
        <v>2.2240668474157563E-3</v>
      </c>
      <c r="GB79">
        <v>2.4397610170813835E-3</v>
      </c>
      <c r="GC79">
        <v>2.7226599723569581E-3</v>
      </c>
      <c r="GD79">
        <v>3.192675300053014E-3</v>
      </c>
      <c r="GE79">
        <v>3.7722029414720931E-3</v>
      </c>
      <c r="GF79">
        <v>4.3411519021074804E-3</v>
      </c>
      <c r="GG79">
        <v>4.8165135925846824E-3</v>
      </c>
      <c r="GH79">
        <v>5.5125018293153086E-3</v>
      </c>
      <c r="GJ79">
        <v>2.7156592814285775E-3</v>
      </c>
      <c r="GK79">
        <v>2.9658831205183265E-3</v>
      </c>
      <c r="GL79">
        <v>3.1646367479040349E-3</v>
      </c>
      <c r="GM79">
        <v>3.4138593485348958E-3</v>
      </c>
      <c r="GN79">
        <v>3.7946220463195915E-3</v>
      </c>
      <c r="GO79">
        <v>4.1872933952528035E-3</v>
      </c>
      <c r="GP79">
        <v>4.599535179039535E-3</v>
      </c>
      <c r="GQ79">
        <v>5.0346578057808697E-3</v>
      </c>
      <c r="GR79">
        <v>5.7155641155170103E-3</v>
      </c>
      <c r="GS79">
        <v>6.8944457543609356E-3</v>
      </c>
    </row>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topLeftCell="A7" workbookViewId="0">
      <selection activeCell="E14" sqref="E14"/>
    </sheetView>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22</v>
      </c>
    </row>
    <row r="20" spans="2:3">
      <c r="B20" s="263" t="str">
        <f>Translation!B312</f>
        <v>Selected File:</v>
      </c>
      <c r="C20" s="91" t="str">
        <f ca="1">INDEX(FixtureChoices,C16)</f>
        <v>T - MH 150W Type IV Very Short</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0"/>
  <sheetViews>
    <sheetView topLeftCell="A4" workbookViewId="0">
      <selection activeCell="C13" sqref="C13"/>
    </sheetView>
  </sheetViews>
  <sheetFormatPr defaultRowHeight="15"/>
  <cols>
    <col min="1" max="1" width="76" style="256" customWidth="1"/>
    <col min="2" max="2" width="35.42578125" style="256" customWidth="1"/>
    <col min="3" max="3" width="27.42578125" style="256" customWidth="1"/>
    <col min="4" max="7" width="15.5703125" style="491" customWidth="1"/>
    <col min="8" max="8" width="15.5703125" style="492" customWidth="1"/>
    <col min="9" max="11" width="15.5703125" style="493" customWidth="1"/>
    <col min="12" max="16384" width="9.140625" style="256"/>
  </cols>
  <sheetData>
    <row r="1" spans="1:23" s="515" customFormat="1" ht="85.5" customHeight="1">
      <c r="A1" s="658" t="str">
        <f>Translation!B322</f>
        <v>Use this sheet to load IES files</v>
      </c>
      <c r="W1" s="515">
        <v>4</v>
      </c>
    </row>
    <row r="2" spans="1:23" s="225" customFormat="1" ht="15" customHeight="1"/>
    <row r="3" spans="1:23" s="225" customFormat="1" ht="30.75" customHeight="1">
      <c r="A3" s="865" t="str">
        <f>Translation!B365</f>
        <v>IES files describe the light output of a fixture. You can obtain them from fixture manufacturers</v>
      </c>
      <c r="B3" s="865"/>
    </row>
    <row r="4" spans="1:23" s="225" customFormat="1" ht="30.75" customHeight="1"/>
    <row r="5" spans="1:23" s="225" customFormat="1">
      <c r="A5" s="535" t="str">
        <f>Translation!B513</f>
        <v>Step 1: Save the IES files you would like to upload to the tool into a folder on your hard drive</v>
      </c>
    </row>
    <row r="6" spans="1:23" s="225" customFormat="1">
      <c r="A6" s="535" t="str">
        <f>Translation!B514</f>
        <v>Step 2: Select “Add files to list below”</v>
      </c>
      <c r="C6" s="513"/>
    </row>
    <row r="7" spans="1:23" s="225" customFormat="1">
      <c r="A7" s="535" t="str">
        <f>Translation!B515</f>
        <v>Step 3: Use the dialog box to find the folder where the files are saved on your hard drive. Select one of the files in the folder and click “Open”</v>
      </c>
      <c r="C7" s="513"/>
    </row>
    <row r="8" spans="1:23" s="225" customFormat="1">
      <c r="A8" s="535" t="str">
        <f>Translation!B516</f>
        <v>Step 4: Enter a name for the fixture that you can use to identify the fixture in the tool analysis (the default will be the file name)</v>
      </c>
      <c r="C8" s="513"/>
    </row>
    <row r="9" spans="1:23" s="225" customFormat="1">
      <c r="A9" s="177" t="str">
        <f>Translation!B517</f>
        <v>Step 5: Enter the Fixture Type (HPS, MH, or LED)</v>
      </c>
      <c r="C9" s="513"/>
    </row>
    <row r="10" spans="1:23" s="225" customFormat="1">
      <c r="A10" s="177" t="str">
        <f>Translation!B518</f>
        <v>Step 6: If desired, enter data for optional inputs found in columns D-K</v>
      </c>
    </row>
    <row r="11" spans="1:23" s="225" customFormat="1">
      <c r="A11" s="177" t="str">
        <f>Translation!B519</f>
        <v>Step 7: Select "Begin upload of IES files listed below"</v>
      </c>
    </row>
    <row r="12" spans="1:23" s="225" customFormat="1">
      <c r="A12" s="177" t="str">
        <f>Translation!B520</f>
        <v>Step 8: Return to “Fixtures” tab and select the fixtures that you want to include in this analysis</v>
      </c>
    </row>
    <row r="13" spans="1:23" s="225" customFormat="1" ht="90.75" customHeight="1"/>
    <row r="14" spans="1:23" s="225" customFormat="1"/>
    <row r="15" spans="1:23" s="225" customFormat="1">
      <c r="A15" s="907" t="str">
        <f>Translation!B512</f>
        <v>Required Inputs</v>
      </c>
      <c r="B15" s="908"/>
      <c r="C15" s="909"/>
      <c r="D15" s="910" t="str">
        <f>Translation!B505</f>
        <v>Optional Inputs</v>
      </c>
      <c r="E15" s="911"/>
      <c r="F15" s="911"/>
      <c r="G15" s="911"/>
      <c r="H15" s="911"/>
      <c r="I15" s="911"/>
      <c r="J15" s="911"/>
      <c r="K15" s="912"/>
      <c r="L15" s="357"/>
    </row>
    <row r="16" spans="1:23"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7"/>
      <c r="L16" s="358"/>
    </row>
    <row r="17" spans="1:12" s="225" customFormat="1">
      <c r="A17" s="506" t="s">
        <v>543</v>
      </c>
      <c r="B17" s="506"/>
      <c r="C17" s="506"/>
      <c r="D17" s="489"/>
      <c r="E17" s="482"/>
      <c r="F17" s="482"/>
      <c r="G17" s="482"/>
      <c r="H17" s="482"/>
      <c r="I17" s="482"/>
      <c r="J17" s="482"/>
      <c r="K17" s="482"/>
      <c r="L17" s="359" t="str">
        <f>Translation!B571</f>
        <v>Error log</v>
      </c>
    </row>
    <row r="18" spans="1:12" s="225" customFormat="1">
      <c r="A18" s="507" t="s">
        <v>541</v>
      </c>
      <c r="B18" s="508" t="s">
        <v>542</v>
      </c>
      <c r="C18" s="509" t="s">
        <v>331</v>
      </c>
      <c r="D18" s="490">
        <v>600</v>
      </c>
      <c r="E18" s="484">
        <v>100</v>
      </c>
      <c r="F18" s="484">
        <v>0</v>
      </c>
      <c r="G18" s="484">
        <v>25</v>
      </c>
      <c r="H18" s="485">
        <v>0.03</v>
      </c>
      <c r="I18" s="483">
        <v>0.7</v>
      </c>
      <c r="J18" s="483">
        <v>0.88</v>
      </c>
      <c r="K18" s="483">
        <v>1</v>
      </c>
      <c r="L18" s="360"/>
    </row>
    <row r="19" spans="1:12"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61"/>
    </row>
    <row r="20" spans="1:12" s="510" customFormat="1" ht="23.25" customHeight="1">
      <c r="A20" s="330"/>
      <c r="B20" s="330"/>
      <c r="C20" s="330"/>
      <c r="D20" s="512" t="s">
        <v>217</v>
      </c>
      <c r="E20" s="512" t="s">
        <v>217</v>
      </c>
      <c r="F20" s="512" t="s">
        <v>217</v>
      </c>
      <c r="G20" s="512" t="s">
        <v>217</v>
      </c>
      <c r="H20" s="512" t="s">
        <v>217</v>
      </c>
      <c r="I20" s="512" t="s">
        <v>217</v>
      </c>
      <c r="J20" s="512" t="s">
        <v>217</v>
      </c>
      <c r="K20" s="512" t="s">
        <v>217</v>
      </c>
      <c r="L20" s="361"/>
    </row>
    <row r="21" spans="1:12">
      <c r="A21" s="364" t="s">
        <v>3341</v>
      </c>
      <c r="B21" s="256" t="s">
        <v>2778</v>
      </c>
      <c r="C21" s="363" t="s">
        <v>66</v>
      </c>
    </row>
    <row r="22" spans="1:12">
      <c r="A22" s="364" t="s">
        <v>3342</v>
      </c>
      <c r="B22" s="256" t="s">
        <v>3343</v>
      </c>
      <c r="C22" s="363" t="s">
        <v>66</v>
      </c>
    </row>
    <row r="23" spans="1:12">
      <c r="A23" s="364" t="s">
        <v>3344</v>
      </c>
      <c r="B23" s="256" t="s">
        <v>3345</v>
      </c>
      <c r="C23" s="363" t="s">
        <v>66</v>
      </c>
    </row>
    <row r="24" spans="1:12">
      <c r="A24" s="364" t="s">
        <v>3346</v>
      </c>
      <c r="B24" s="256" t="s">
        <v>3347</v>
      </c>
      <c r="C24" s="363" t="s">
        <v>66</v>
      </c>
    </row>
    <row r="25" spans="1:12">
      <c r="A25" s="364"/>
      <c r="C25" s="363"/>
    </row>
    <row r="26" spans="1:12">
      <c r="A26" s="364"/>
      <c r="C26" s="363"/>
    </row>
    <row r="27" spans="1:12">
      <c r="A27" s="364"/>
      <c r="C27" s="363"/>
    </row>
    <row r="28" spans="1:12">
      <c r="A28" s="364"/>
      <c r="C28" s="363"/>
    </row>
    <row r="29" spans="1:12">
      <c r="A29" s="364"/>
      <c r="C29" s="363"/>
    </row>
    <row r="30" spans="1:12">
      <c r="A30" s="364"/>
      <c r="C30" s="363"/>
    </row>
    <row r="31" spans="1:12">
      <c r="A31" s="364"/>
      <c r="C31" s="363"/>
    </row>
    <row r="32" spans="1:12">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D15:K15"/>
    <mergeCell ref="A3:B3"/>
  </mergeCells>
  <conditionalFormatting sqref="B16:B18 B21 B10:B14 A1:B1 B27:B65536 B23 B25">
    <cfRule type="expression" dxfId="1" priority="8" stopIfTrue="1">
      <formula>COUNTIF(A:A,A1)&gt;1</formula>
    </cfRule>
  </conditionalFormatting>
  <conditionalFormatting sqref="B22 B24 B26">
    <cfRule type="expression" dxfId="0" priority="5" stopIfTrue="1">
      <formula>COUNTIF(B:B,B22)&gt;1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zoomScaleNormal="100" workbookViewId="0">
      <selection activeCell="C19" sqref="C19"/>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5</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1125</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1050</v>
      </c>
      <c r="B2" s="280" t="s">
        <v>1051</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209</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1054</v>
      </c>
    </row>
    <row r="3" spans="1:83" ht="21" customHeight="1">
      <c r="A3" s="29"/>
      <c r="B3" s="27"/>
      <c r="C3" s="27" t="str">
        <f ca="1">FxLib_Selectedfixture</f>
        <v>ATB2_40B_LED_E70_XXXXX_R2.ies</v>
      </c>
      <c r="D3" s="27" t="str">
        <f ca="1">FixtureData!B9</f>
        <v>LED</v>
      </c>
      <c r="E3" s="27">
        <f ca="1">FixtureData!G6</f>
        <v>91</v>
      </c>
      <c r="F3" s="89">
        <f ca="1">FixtureData!I6</f>
        <v>398.58</v>
      </c>
      <c r="G3" s="89">
        <f ca="1">FixtureData!J6</f>
        <v>11388</v>
      </c>
      <c r="H3" s="384">
        <f>'Illuminance Calcs'!$C$4</f>
        <v>14.031504644948239</v>
      </c>
      <c r="I3" s="384">
        <f>'Illuminance Calcs'!$C$5</f>
        <v>6.8053481894493517</v>
      </c>
      <c r="J3" s="384">
        <f>'Illuminance Calcs'!$C$6</f>
        <v>25.106824551421735</v>
      </c>
      <c r="K3" s="384">
        <f>'Illuminance Calcs'!$C$7</f>
        <v>2.0618349354559014</v>
      </c>
      <c r="L3" s="306">
        <f>IF(FixtureData!$B$23="IES",'Lighting Standards'!$D$12,'Lighting Standards'!$H$12)</f>
        <v>6</v>
      </c>
      <c r="M3" s="384">
        <f>IF(FixtureData!$B$23="IES",'Lighting Standards'!$D$13,'Lighting Standards'!$H$13)</f>
        <v>6</v>
      </c>
      <c r="N3" s="82"/>
      <c r="O3" s="82"/>
      <c r="P3" s="28">
        <f>IF(iescieGraphChoice="IES",IF(AND(H3&gt;L3,K3&lt;M3),1,0),IF(AND(H3&gt;L3,K3&gt;M3),1,0))</f>
        <v>1</v>
      </c>
      <c r="Q3" s="82">
        <f>'Luminance Calcs'!$C$4</f>
        <v>1.1423931386714454</v>
      </c>
      <c r="R3" s="384">
        <f>'Luminance Calcs'!$C$5</f>
        <v>0.46857753254908935</v>
      </c>
      <c r="S3" s="384">
        <f>'Luminance Calcs'!$C$6</f>
        <v>1.7662242648823605</v>
      </c>
      <c r="T3" s="384">
        <f>'Luminance Calcs'!$C$7</f>
        <v>2.4380023780840698</v>
      </c>
      <c r="U3" s="384">
        <f>'Luminance Calcs'!$C$8</f>
        <v>3.7693319508385232</v>
      </c>
      <c r="V3" s="28">
        <f>IF(FixtureData!$B$23="IES",'Lighting Standards'!$D$19,'Lighting Standards'!$H$19)</f>
        <v>0.6</v>
      </c>
      <c r="W3" s="29">
        <f>IF(FixtureData!$B$23="IES",'Lighting Standards'!$D$20,'Lighting Standards'!$H$20)</f>
        <v>3</v>
      </c>
      <c r="X3" s="29">
        <f>IF(FixtureData!$B$23="IES",'Lighting Standards'!$D$21,'Lighting Standards'!$H$21)</f>
        <v>6</v>
      </c>
      <c r="Y3" s="28">
        <f>IF(iescieGraphChoice="IES",IF(AND(Q3&gt;V3,T3&lt;W3,U3&lt;X3),1,0),IF(AND(Q3&gt;V3,T3&gt;W3,U3&gt;X3),1,0))</f>
        <v>1</v>
      </c>
      <c r="Z3" s="673">
        <f ca="1">CostCalcs!C46</f>
        <v>600</v>
      </c>
      <c r="AA3" s="673">
        <f ca="1">CostCalcs!C47</f>
        <v>64.858000000000004</v>
      </c>
      <c r="AB3" s="674"/>
      <c r="AC3" s="674"/>
      <c r="AD3" s="674"/>
      <c r="AE3" s="673">
        <f ca="1">CostCalcs!I23</f>
        <v>600</v>
      </c>
      <c r="AF3" s="673">
        <f ca="1">CostCalcs!I24</f>
        <v>664.2283106796117</v>
      </c>
      <c r="AG3" s="673">
        <f ca="1">CostCalcs!I25</f>
        <v>727.83304552738252</v>
      </c>
      <c r="AH3" s="673">
        <f ca="1">CostCalcs!I26</f>
        <v>790.82025867760217</v>
      </c>
      <c r="AI3" s="673">
        <f ca="1">CostCalcs!I27</f>
        <v>853.19594548655755</v>
      </c>
      <c r="AJ3" s="673">
        <f ca="1">CostCalcs!I28</f>
        <v>914.96604310319287</v>
      </c>
      <c r="AK3" s="673">
        <f ca="1">CostCalcs!I29</f>
        <v>976.13643103422976</v>
      </c>
      <c r="AL3" s="673">
        <f ca="1">CostCalcs!I30</f>
        <v>1036.7129317038005</v>
      </c>
      <c r="AM3" s="673">
        <f ca="1">CostCalcs!I31</f>
        <v>1096.7013110076471</v>
      </c>
      <c r="AN3" s="673">
        <f ca="1">CostCalcs!I32</f>
        <v>1156.1072788619417</v>
      </c>
      <c r="AO3" s="673">
        <f ca="1">CostCalcs!I33</f>
        <v>1214.9364897467772</v>
      </c>
      <c r="AP3" s="673">
        <f ca="1">CostCalcs!I34</f>
        <v>1273.1945432443813</v>
      </c>
      <c r="AQ3" s="673">
        <f ca="1">CostCalcs!I35</f>
        <v>1330.8869845721058</v>
      </c>
      <c r="AR3" s="673">
        <f ca="1">CostCalcs!I36</f>
        <v>1388.0193051102408</v>
      </c>
      <c r="AS3" s="673">
        <f ca="1">CostCalcs!I37</f>
        <v>1444.5969429247045</v>
      </c>
      <c r="AT3" s="673">
        <f ca="1">CostCalcs!I38</f>
        <v>1500.625283284659</v>
      </c>
      <c r="AU3" s="673">
        <f ca="1">CostCalcs!I39</f>
        <v>1556.1096591750991</v>
      </c>
      <c r="AV3" s="673">
        <f ca="1">CostCalcs!I40</f>
        <v>1611.0553518044671</v>
      </c>
      <c r="AW3" s="673">
        <f ca="1">CostCalcs!I41</f>
        <v>1665.4675911073364</v>
      </c>
      <c r="AX3" s="673">
        <f ca="1">CostCalcs!I42</f>
        <v>1719.3515562422167</v>
      </c>
      <c r="AY3" s="673">
        <f ca="1">CostCalcs!I43</f>
        <v>1772.7123760845252</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28.571428571428573</v>
      </c>
      <c r="BU3" s="27">
        <f>IF(FixtureData!A6="Baseline",'Road Geometry'!C10,IF(FixtureData!A6="Upgrade",'Road Geometry'!D10,""))</f>
        <v>4</v>
      </c>
      <c r="BV3" s="27">
        <f>IF(FixtureData!A6="Baseline",'Road Geometry'!C11,IF(FixtureData!A6="Upgrade",'Road Geometry'!D11,""))</f>
        <v>4</v>
      </c>
      <c r="BW3" s="27"/>
      <c r="BX3" s="27">
        <f>IF(FixtureData!A6="Baseline",'Road Geometry'!C12,IF(FixtureData!A6="Upgrade",'Road Geometry'!D12,""))</f>
        <v>1</v>
      </c>
      <c r="BY3" s="27" t="str">
        <f>IF(FixtureData!A6="Baseline",'Road Geometry'!C16,IF(FixtureData!A6="Upgrade",'Road Geometry'!D16,""))</f>
        <v>Opposite</v>
      </c>
      <c r="BZ3" s="27">
        <f>IF(FixtureData!A6="Baseline",'Road Geometry'!C17,IF(FixtureData!A6="Upgrade",'Road Geometry'!D17,""))</f>
        <v>10</v>
      </c>
      <c r="CA3" s="27">
        <f>IF(FixtureData!A6="Baseline",'Road Geometry'!C18,IF(FixtureData!A6="Upgrade",'Road Geometry'!D18,""))</f>
        <v>35</v>
      </c>
      <c r="CB3" s="27">
        <f>IF(FixtureData!A6="Baseline",'Road Geometry'!C19,IF(FixtureData!A6="Upgrade",'Road Geometry'!D19,""))</f>
        <v>0</v>
      </c>
      <c r="CC3" s="27">
        <f>IF(FixtureData!A6="Baseline",'Road Geometry'!C20,IF(FixtureData!A6="Upgrade",'Road Geometry'!D20,""))</f>
        <v>5.5</v>
      </c>
      <c r="CD3" s="27"/>
      <c r="CE3" s="306">
        <f ca="1">IF(FixtureData!A6="Baseline",FixtureData!H18,IF(FixtureData!A6="Upgrade",FixtureData!H19,""))</f>
        <v>0.69000000000000006</v>
      </c>
    </row>
    <row r="4" spans="1:83" s="310" customFormat="1" ht="27.75" customHeight="1">
      <c r="B4" s="310" t="s">
        <v>22</v>
      </c>
      <c r="C4" s="310" t="s">
        <v>3345</v>
      </c>
      <c r="D4" s="310" t="s">
        <v>66</v>
      </c>
      <c r="E4" s="310">
        <v>91</v>
      </c>
      <c r="F4" s="311">
        <v>398.58</v>
      </c>
      <c r="G4" s="311">
        <v>11388</v>
      </c>
      <c r="H4" s="396">
        <v>14.031504644948239</v>
      </c>
      <c r="I4" s="396">
        <v>6.8053481894493517</v>
      </c>
      <c r="J4" s="396">
        <v>25.106824551421735</v>
      </c>
      <c r="K4" s="396">
        <v>2.0618349354559014</v>
      </c>
      <c r="L4" s="397">
        <v>6</v>
      </c>
      <c r="M4" s="396">
        <v>6</v>
      </c>
      <c r="N4" s="312"/>
      <c r="O4" s="312"/>
      <c r="P4" s="310">
        <v>1</v>
      </c>
      <c r="Q4" s="312">
        <v>1.1424180073258474</v>
      </c>
      <c r="R4" s="312">
        <v>0.46857753254908935</v>
      </c>
      <c r="S4" s="312">
        <v>1.7662242648823605</v>
      </c>
      <c r="T4" s="312">
        <v>2.4380554507405128</v>
      </c>
      <c r="U4" s="312">
        <v>3.7693319508385232</v>
      </c>
      <c r="V4" s="310">
        <v>0.6</v>
      </c>
      <c r="W4" s="310">
        <v>3</v>
      </c>
      <c r="X4" s="310">
        <v>6</v>
      </c>
      <c r="Y4" s="310">
        <v>1</v>
      </c>
      <c r="Z4" s="693">
        <v>0</v>
      </c>
      <c r="AA4" s="693">
        <v>64.86</v>
      </c>
      <c r="AB4" s="675"/>
      <c r="AC4" s="675"/>
      <c r="AD4" s="675"/>
      <c r="AE4" s="693">
        <v>0</v>
      </c>
      <c r="AF4" s="693">
        <v>64.23</v>
      </c>
      <c r="AG4" s="693">
        <v>127.83</v>
      </c>
      <c r="AH4" s="693">
        <v>190.82</v>
      </c>
      <c r="AI4" s="693">
        <v>253.2</v>
      </c>
      <c r="AJ4" s="693">
        <v>314.97000000000003</v>
      </c>
      <c r="AK4" s="693">
        <v>376.14</v>
      </c>
      <c r="AL4" s="693">
        <v>436.71</v>
      </c>
      <c r="AM4" s="693">
        <v>496.7</v>
      </c>
      <c r="AN4" s="693">
        <v>556.11</v>
      </c>
      <c r="AO4" s="693">
        <v>614.94000000000005</v>
      </c>
      <c r="AP4" s="693">
        <v>673.19</v>
      </c>
      <c r="AQ4" s="693">
        <v>730.89</v>
      </c>
      <c r="AR4" s="693">
        <v>788.02</v>
      </c>
      <c r="AS4" s="693">
        <v>844.6</v>
      </c>
      <c r="AT4" s="693">
        <v>900.63</v>
      </c>
      <c r="AU4" s="693">
        <v>956.11</v>
      </c>
      <c r="AV4" s="693">
        <v>1011.06</v>
      </c>
      <c r="AW4" s="693">
        <v>1065.47</v>
      </c>
      <c r="AX4" s="693">
        <v>1119.3499999999999</v>
      </c>
      <c r="AY4" s="693">
        <v>1172.71</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4</v>
      </c>
      <c r="BV4" s="310">
        <v>4</v>
      </c>
      <c r="BX4" s="310">
        <v>1</v>
      </c>
      <c r="BY4" s="310" t="s">
        <v>1246</v>
      </c>
      <c r="BZ4" s="310">
        <v>10</v>
      </c>
      <c r="CA4" s="310">
        <v>35</v>
      </c>
      <c r="CB4" s="310">
        <v>0</v>
      </c>
      <c r="CC4" s="310">
        <v>5.5</v>
      </c>
      <c r="CE4" s="310">
        <v>0.69000000000000006</v>
      </c>
    </row>
    <row r="5" spans="1:83">
      <c r="B5" t="s">
        <v>1995</v>
      </c>
      <c r="C5" t="s">
        <v>3345</v>
      </c>
      <c r="D5" t="s">
        <v>66</v>
      </c>
      <c r="E5">
        <v>91</v>
      </c>
      <c r="F5" s="90">
        <v>398.58</v>
      </c>
      <c r="G5" s="90">
        <v>11388</v>
      </c>
      <c r="H5" s="398">
        <v>14.031504644948239</v>
      </c>
      <c r="I5" s="398">
        <v>6.8053481894493517</v>
      </c>
      <c r="J5" s="398">
        <v>25.106824551421735</v>
      </c>
      <c r="K5" s="398">
        <v>2.0618349354559014</v>
      </c>
      <c r="L5" s="108">
        <v>6</v>
      </c>
      <c r="M5" s="398">
        <v>6</v>
      </c>
      <c r="P5">
        <v>1</v>
      </c>
      <c r="Q5" s="83">
        <v>1.1423931386714454</v>
      </c>
      <c r="R5" s="83">
        <v>0.46857753254908935</v>
      </c>
      <c r="S5" s="341">
        <v>1.7662242648823605</v>
      </c>
      <c r="T5" s="83">
        <v>2.4380023780840698</v>
      </c>
      <c r="U5" s="341">
        <v>3.7693319508385232</v>
      </c>
      <c r="V5">
        <v>0.6</v>
      </c>
      <c r="W5">
        <v>3</v>
      </c>
      <c r="X5">
        <v>6</v>
      </c>
      <c r="Y5">
        <v>1</v>
      </c>
      <c r="Z5" s="694">
        <v>600</v>
      </c>
      <c r="AA5" s="694">
        <v>64.86</v>
      </c>
      <c r="AB5" s="694">
        <v>600</v>
      </c>
      <c r="AC5" s="694">
        <v>0.14000000000000001</v>
      </c>
      <c r="AD5" s="676">
        <v>4225.352112676057</v>
      </c>
      <c r="AE5" s="694">
        <v>600</v>
      </c>
      <c r="AF5" s="694">
        <v>664.23</v>
      </c>
      <c r="AG5" s="694">
        <v>727.83</v>
      </c>
      <c r="AH5" s="694">
        <v>790.82</v>
      </c>
      <c r="AI5" s="694">
        <v>853.2</v>
      </c>
      <c r="AJ5" s="694">
        <v>914.97</v>
      </c>
      <c r="AK5" s="694">
        <v>976.14</v>
      </c>
      <c r="AL5" s="694">
        <v>1036.71</v>
      </c>
      <c r="AM5" s="694">
        <v>1096.7</v>
      </c>
      <c r="AN5" s="694">
        <v>1156.1099999999999</v>
      </c>
      <c r="AO5" s="694">
        <v>1214.94</v>
      </c>
      <c r="AP5" s="694">
        <v>1273.19</v>
      </c>
      <c r="AQ5" s="694">
        <v>1330.89</v>
      </c>
      <c r="AR5" s="694">
        <v>1388.02</v>
      </c>
      <c r="AS5" s="694">
        <v>1444.6</v>
      </c>
      <c r="AT5" s="694">
        <v>1500.63</v>
      </c>
      <c r="AU5" s="694">
        <v>1556.11</v>
      </c>
      <c r="AV5" s="694">
        <v>1611.06</v>
      </c>
      <c r="AW5" s="694">
        <v>1665.47</v>
      </c>
      <c r="AX5" s="694">
        <v>1719.35</v>
      </c>
      <c r="AY5" s="694">
        <v>1772.71</v>
      </c>
      <c r="AZ5" s="499" t="e">
        <v>#NUM!</v>
      </c>
      <c r="BA5" s="499" t="e">
        <v>#NUM!</v>
      </c>
      <c r="BB5" s="499" t="e">
        <v>#NUM!</v>
      </c>
      <c r="BC5" s="499" t="e">
        <v>#NUM!</v>
      </c>
      <c r="BD5" s="499" t="e">
        <v>#NUM!</v>
      </c>
      <c r="BE5" s="499" t="e">
        <v>#NUM!</v>
      </c>
      <c r="BF5" s="499" t="e">
        <v>#NUM!</v>
      </c>
      <c r="BG5" s="499" t="e">
        <v>#NUM!</v>
      </c>
      <c r="BH5" s="499" t="e">
        <v>#NUM!</v>
      </c>
      <c r="BI5" s="499" t="e">
        <v>#NUM!</v>
      </c>
      <c r="BJ5" s="499" t="e">
        <v>#NUM!</v>
      </c>
      <c r="BK5" s="499" t="e">
        <v>#NUM!</v>
      </c>
      <c r="BL5" s="499" t="e">
        <v>#NUM!</v>
      </c>
      <c r="BM5" s="499" t="e">
        <v>#NUM!</v>
      </c>
      <c r="BN5" s="499" t="e">
        <v>#NUM!</v>
      </c>
      <c r="BO5" s="499" t="e">
        <v>#NUM!</v>
      </c>
      <c r="BP5" s="499" t="e">
        <v>#NUM!</v>
      </c>
      <c r="BQ5" s="499" t="e">
        <v>#NUM!</v>
      </c>
      <c r="BR5" s="499" t="e">
        <v>#NUM!</v>
      </c>
      <c r="BS5" s="499" t="e">
        <v>#NUM!</v>
      </c>
      <c r="BT5" s="86">
        <v>28.571428571428573</v>
      </c>
      <c r="BU5">
        <v>4</v>
      </c>
      <c r="BV5">
        <v>4</v>
      </c>
      <c r="BX5">
        <v>1</v>
      </c>
      <c r="BY5" t="s">
        <v>1246</v>
      </c>
      <c r="BZ5">
        <v>10</v>
      </c>
      <c r="CA5">
        <v>35</v>
      </c>
      <c r="CB5">
        <v>0</v>
      </c>
      <c r="CC5">
        <v>5.5</v>
      </c>
      <c r="CE5">
        <v>0.69000000000000006</v>
      </c>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468" workbookViewId="0">
      <selection activeCell="A465" sqref="A465"/>
    </sheetView>
  </sheetViews>
  <sheetFormatPr defaultRowHeight="15"/>
  <cols>
    <col min="1" max="1" width="69.85546875" style="294" customWidth="1"/>
    <col min="2" max="2" width="85" style="365" customWidth="1"/>
    <col min="3" max="16384" width="9.140625" style="294"/>
  </cols>
  <sheetData>
    <row r="1" spans="1:2">
      <c r="A1" s="294" t="s">
        <v>3372</v>
      </c>
      <c r="B1" s="365" t="s">
        <v>1787</v>
      </c>
    </row>
    <row r="2" spans="1:2">
      <c r="A2" s="294" t="s">
        <v>3371</v>
      </c>
      <c r="B2" s="365" t="s">
        <v>1788</v>
      </c>
    </row>
    <row r="14" spans="1:2" ht="15.75" thickBot="1">
      <c r="A14" s="352" t="str">
        <f>Translation!B101</f>
        <v>Type</v>
      </c>
    </row>
    <row r="15" spans="1:2" ht="208.5" customHeight="1" thickTop="1">
      <c r="A15" s="913"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13"/>
    </row>
    <row r="30" spans="1:2" ht="15.75" thickBot="1">
      <c r="A30" s="352" t="str">
        <f>Translation!B102</f>
        <v>Watts</v>
      </c>
    </row>
    <row r="31" spans="1:2" s="350" customFormat="1" ht="47.25" customHeight="1" thickTop="1">
      <c r="A31" s="913" t="str">
        <f>Translation!B100</f>
        <v xml:space="preserve">This is actual power consumption of the fixture, including the bulb and any ballast or other electronics. It is read in from the IES file when other fixture data is captured. </v>
      </c>
      <c r="B31" s="913"/>
    </row>
    <row r="33" spans="1:2" ht="151.5" customHeight="1">
      <c r="A33" s="913"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13"/>
    </row>
    <row r="52" spans="1:2" ht="15.75" thickBot="1">
      <c r="A52" s="353" t="str">
        <f>Translation!B95</f>
        <v>Total Light Loss Factor</v>
      </c>
    </row>
    <row r="53" spans="1:2" ht="258.75" customHeight="1" thickTop="1">
      <c r="A53" s="913"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13"/>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13"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13"/>
    </row>
    <row r="69" spans="1:2">
      <c r="A69" s="913"/>
      <c r="B69" s="913"/>
    </row>
    <row r="70" spans="1:2">
      <c r="A70" s="689"/>
      <c r="B70" s="689"/>
    </row>
    <row r="71" spans="1:2">
      <c r="A71" s="689"/>
      <c r="B71" s="689"/>
    </row>
    <row r="72" spans="1:2">
      <c r="A72" s="689"/>
      <c r="B72" s="689"/>
    </row>
    <row r="73" spans="1:2">
      <c r="A73" s="689"/>
      <c r="B73" s="689"/>
    </row>
    <row r="74" spans="1:2">
      <c r="A74" s="689"/>
      <c r="B74" s="689"/>
    </row>
    <row r="75" spans="1:2" ht="15.75" thickBot="1">
      <c r="A75" s="352" t="str">
        <f>Translation!B324</f>
        <v>Installation Cost ($/fixture)</v>
      </c>
      <c r="B75" s="689"/>
    </row>
    <row r="76" spans="1:2" ht="290.25" customHeight="1" thickTop="1">
      <c r="A76" s="914" t="str">
        <f>Translation!B325</f>
        <v>The installation cost should be the all-in cost for installing the fixture, including street closure costs, labor costs, etc. as relevant. If this is your baseline fixture (i.e. already installed), this cost should be zero</v>
      </c>
      <c r="B76" s="914"/>
    </row>
    <row r="77" spans="1:2" ht="104.25" customHeight="1">
      <c r="A77" s="688"/>
      <c r="B77" s="688"/>
    </row>
    <row r="78" spans="1:2">
      <c r="A78" s="688"/>
      <c r="B78" s="688"/>
    </row>
    <row r="79" spans="1:2">
      <c r="A79" s="688"/>
      <c r="B79" s="688"/>
    </row>
    <row r="80" spans="1:2" ht="15.75" thickBot="1">
      <c r="A80" s="352" t="str">
        <f>Translation!B326</f>
        <v>Energy Cost</v>
      </c>
    </row>
    <row r="81" spans="1:3" ht="182.25" customHeight="1" thickTop="1">
      <c r="A81" s="914"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14"/>
      <c r="C81" s="594"/>
    </row>
    <row r="82" spans="1:3">
      <c r="A82" s="688"/>
      <c r="B82" s="688"/>
      <c r="C82" s="594"/>
    </row>
    <row r="83" spans="1:3">
      <c r="A83" s="688"/>
      <c r="B83" s="688"/>
      <c r="C83" s="594"/>
    </row>
    <row r="84" spans="1:3">
      <c r="A84" s="688"/>
      <c r="B84" s="688"/>
      <c r="C84" s="594"/>
    </row>
    <row r="85" spans="1:3">
      <c r="A85" s="688"/>
      <c r="B85" s="688"/>
      <c r="C85" s="594"/>
    </row>
    <row r="86" spans="1:3">
      <c r="A86" s="688"/>
      <c r="B86" s="688"/>
      <c r="C86" s="594"/>
    </row>
    <row r="87" spans="1:3" ht="15.75" thickBot="1">
      <c r="A87" s="352" t="str">
        <f>Translation!B328</f>
        <v>Discount Rate</v>
      </c>
    </row>
    <row r="88" spans="1:3" ht="145.5" customHeight="1" thickTop="1">
      <c r="A88" s="915" t="str">
        <f>Translation!B329</f>
        <v xml:space="preserve">Enter the assumed discount rate for calculating the net present value of future energy and maintenance cost savings
</v>
      </c>
      <c r="B88" s="915"/>
    </row>
    <row r="89" spans="1:3">
      <c r="A89" s="690"/>
      <c r="B89" s="690"/>
    </row>
    <row r="90" spans="1:3">
      <c r="A90" s="690"/>
      <c r="B90" s="690"/>
    </row>
    <row r="91" spans="1:3">
      <c r="A91" s="690"/>
      <c r="B91" s="690"/>
    </row>
    <row r="92" spans="1:3" ht="75.75" customHeight="1">
      <c r="A92" s="690"/>
      <c r="B92" s="690"/>
    </row>
    <row r="93" spans="1:3" ht="15.75" thickBot="1">
      <c r="A93" s="352" t="str">
        <f>Translation!B330</f>
        <v>Analysis Period</v>
      </c>
    </row>
    <row r="94" spans="1:3" ht="172.5" customHeight="1" thickTop="1">
      <c r="A94" s="914" t="str">
        <f>Translation!B331</f>
        <v xml:space="preserve">Enter the time period over which you'd like to evaluate the differences in maintenance, bulb replacement, and energy costs between the scenarios
</v>
      </c>
      <c r="B94" s="914"/>
    </row>
    <row r="95" spans="1:3">
      <c r="A95" s="688"/>
      <c r="B95" s="688"/>
    </row>
    <row r="96" spans="1:3">
      <c r="A96" s="688"/>
      <c r="B96" s="688"/>
    </row>
    <row r="97" spans="1:2">
      <c r="A97" s="688"/>
      <c r="B97" s="688"/>
    </row>
    <row r="98" spans="1:2">
      <c r="A98" s="688"/>
      <c r="B98" s="688"/>
    </row>
    <row r="99" spans="1:2">
      <c r="A99" s="688"/>
      <c r="B99" s="688"/>
    </row>
    <row r="100" spans="1:2">
      <c r="A100" s="688"/>
      <c r="B100" s="688"/>
    </row>
    <row r="101" spans="1:2">
      <c r="A101" s="688"/>
      <c r="B101" s="688"/>
    </row>
    <row r="102" spans="1:2" ht="78.75" customHeight="1">
      <c r="A102" s="688"/>
      <c r="B102" s="688"/>
    </row>
    <row r="103" spans="1:2" ht="15.75" thickBot="1">
      <c r="A103" s="352" t="str">
        <f>Translation!B89</f>
        <v>Fixture Cost</v>
      </c>
    </row>
    <row r="104" spans="1:2" ht="119.25" customHeight="1" thickTop="1">
      <c r="A104" s="913"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13"/>
    </row>
    <row r="105" spans="1:2">
      <c r="A105" s="689"/>
      <c r="B105" s="689"/>
    </row>
    <row r="106" spans="1:2">
      <c r="A106" s="689"/>
      <c r="B106" s="689"/>
    </row>
    <row r="107" spans="1:2">
      <c r="A107" s="689"/>
      <c r="B107" s="689"/>
    </row>
    <row r="108" spans="1:2">
      <c r="A108" s="689"/>
      <c r="B108" s="689"/>
    </row>
    <row r="109" spans="1:2">
      <c r="A109" s="689"/>
      <c r="B109" s="689"/>
    </row>
    <row r="110" spans="1:2">
      <c r="A110" s="689"/>
      <c r="B110" s="689"/>
    </row>
    <row r="111" spans="1:2">
      <c r="A111" s="689"/>
      <c r="B111" s="689"/>
    </row>
    <row r="112" spans="1:2">
      <c r="A112" s="689"/>
      <c r="B112" s="689"/>
    </row>
    <row r="113" spans="1:2">
      <c r="A113" s="689"/>
      <c r="B113" s="689"/>
    </row>
    <row r="114" spans="1:2">
      <c r="A114" s="689"/>
      <c r="B114" s="689"/>
    </row>
    <row r="115" spans="1:2">
      <c r="A115" s="689"/>
      <c r="B115" s="689"/>
    </row>
    <row r="116" spans="1:2">
      <c r="A116" s="689"/>
      <c r="B116" s="689"/>
    </row>
    <row r="117" spans="1:2">
      <c r="A117" s="689"/>
      <c r="B117" s="689"/>
    </row>
    <row r="118" spans="1:2">
      <c r="A118" s="689"/>
      <c r="B118" s="689"/>
    </row>
    <row r="119" spans="1:2">
      <c r="A119" s="689"/>
      <c r="B119" s="689"/>
    </row>
    <row r="120" spans="1:2">
      <c r="A120" s="689"/>
      <c r="B120" s="689"/>
    </row>
    <row r="121" spans="1:2" ht="15.75" thickBot="1">
      <c r="A121" s="352" t="str">
        <f>Translation!B90</f>
        <v>Fixture Life (hours)</v>
      </c>
    </row>
    <row r="122" spans="1:2" ht="15.75" thickTop="1"/>
    <row r="123" spans="1:2">
      <c r="A123" s="914"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14"/>
    </row>
    <row r="124" spans="1:2">
      <c r="A124" s="914" t="str">
        <f>Translation!B93</f>
        <v>For LED fixtures , fixture life can be very long - but a poorly designed fixture may have a much shorter life than typical. It's very important to assess manufacturer claims about typical life. To assess these claims, here are some tips:</v>
      </c>
      <c r="B124" s="914"/>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89"/>
    </row>
    <row r="154" spans="1:2" ht="213.75" customHeight="1">
      <c r="A154" s="689"/>
      <c r="B154" s="689"/>
    </row>
    <row r="155" spans="1:2">
      <c r="A155" s="689"/>
      <c r="B155" s="689"/>
    </row>
    <row r="156" spans="1:2">
      <c r="A156" s="689"/>
      <c r="B156" s="689"/>
    </row>
    <row r="157" spans="1:2">
      <c r="A157" s="689"/>
      <c r="B157" s="689"/>
    </row>
    <row r="158" spans="1:2" ht="15.75" thickBot="1">
      <c r="A158" s="352" t="str">
        <f>Translation!B332</f>
        <v>Number of Lanes</v>
      </c>
      <c r="B158" s="689"/>
    </row>
    <row r="159" spans="1:2" ht="30.75" thickTop="1">
      <c r="A159" s="688" t="str">
        <f>Translation!B333</f>
        <v xml:space="preserve">Indicate the total number of lanes (both travel directions)
</v>
      </c>
    </row>
    <row r="160" spans="1:2" ht="351" customHeight="1" thickBot="1">
      <c r="A160" s="352" t="str">
        <f>Translation!B334</f>
        <v>Lane Width</v>
      </c>
      <c r="B160" s="688"/>
    </row>
    <row r="161" spans="1:2" ht="45.75" thickTop="1">
      <c r="A161" s="688" t="str">
        <f>Translation!B335</f>
        <v xml:space="preserve">Indicate the width of each lane, in meters. All lanes are assumed to be the same width.
</v>
      </c>
    </row>
    <row r="162" spans="1:2" s="350" customFormat="1" ht="177.75" customHeight="1">
      <c r="A162" s="688"/>
      <c r="B162" s="688"/>
    </row>
    <row r="163" spans="1:2" s="350" customFormat="1">
      <c r="A163" s="688"/>
      <c r="B163" s="688"/>
    </row>
    <row r="164" spans="1:2" s="350" customFormat="1">
      <c r="A164" s="688"/>
      <c r="B164" s="688"/>
    </row>
    <row r="165" spans="1:2" s="350" customFormat="1">
      <c r="A165" s="688"/>
      <c r="B165" s="688"/>
    </row>
    <row r="166" spans="1:2" s="350" customFormat="1">
      <c r="A166" s="688"/>
      <c r="B166" s="688"/>
    </row>
    <row r="167" spans="1:2" s="350" customFormat="1">
      <c r="A167" s="688"/>
      <c r="B167" s="688"/>
    </row>
    <row r="168" spans="1:2" s="350" customFormat="1">
      <c r="A168" s="688"/>
      <c r="B168" s="688"/>
    </row>
    <row r="169" spans="1:2" s="350" customFormat="1">
      <c r="A169" s="688"/>
      <c r="B169" s="688"/>
    </row>
    <row r="170" spans="1:2" s="350" customFormat="1">
      <c r="A170" s="688"/>
      <c r="B170" s="688"/>
    </row>
    <row r="171" spans="1:2" s="350" customFormat="1">
      <c r="A171" s="688"/>
      <c r="B171" s="688"/>
    </row>
    <row r="172" spans="1:2" s="350" customFormat="1">
      <c r="A172" s="688"/>
      <c r="B172" s="688"/>
    </row>
    <row r="173" spans="1:2" s="350" customFormat="1">
      <c r="A173" s="688"/>
      <c r="B173" s="688"/>
    </row>
    <row r="174" spans="1:2" s="350" customFormat="1">
      <c r="A174" s="688"/>
      <c r="B174" s="688"/>
    </row>
    <row r="175" spans="1:2" s="350" customFormat="1">
      <c r="A175" s="688"/>
      <c r="B175" s="688"/>
    </row>
    <row r="176" spans="1:2" s="350" customFormat="1">
      <c r="A176" s="688"/>
      <c r="B176" s="688"/>
    </row>
    <row r="177" spans="1:2" s="350" customFormat="1">
      <c r="A177" s="688"/>
      <c r="B177" s="688"/>
    </row>
    <row r="178" spans="1:2" s="350" customFormat="1" ht="15.75" thickBot="1">
      <c r="A178" s="352" t="str">
        <f>Translation!B336</f>
        <v>Median Width</v>
      </c>
      <c r="B178" s="688"/>
    </row>
    <row r="179" spans="1:2" ht="30.75" thickTop="1">
      <c r="A179" s="689" t="str">
        <f>Translation!B337</f>
        <v xml:space="preserve">Indicate the width of the median. If there is no median, use zero. 
</v>
      </c>
    </row>
    <row r="180" spans="1:2" ht="160.5" customHeight="1">
      <c r="A180" s="689"/>
    </row>
    <row r="181" spans="1:2">
      <c r="A181" s="689"/>
    </row>
    <row r="182" spans="1:2">
      <c r="A182" s="689"/>
    </row>
    <row r="183" spans="1:2">
      <c r="A183" s="689"/>
    </row>
    <row r="184" spans="1:2">
      <c r="A184" s="689"/>
    </row>
    <row r="185" spans="1:2">
      <c r="A185" s="689"/>
    </row>
    <row r="186" spans="1:2">
      <c r="A186" s="689"/>
    </row>
    <row r="187" spans="1:2">
      <c r="A187" s="689"/>
    </row>
    <row r="188" spans="1:2">
      <c r="A188" s="689"/>
    </row>
    <row r="189" spans="1:2">
      <c r="A189" s="689"/>
    </row>
    <row r="190" spans="1:2">
      <c r="A190" s="689"/>
    </row>
    <row r="191" spans="1:2">
      <c r="A191" s="689"/>
    </row>
    <row r="192" spans="1:2">
      <c r="A192" s="689"/>
    </row>
    <row r="193" spans="1:2">
      <c r="A193" s="689"/>
    </row>
    <row r="194" spans="1:2">
      <c r="A194" s="689"/>
    </row>
    <row r="195" spans="1:2">
      <c r="A195" s="689"/>
    </row>
    <row r="196" spans="1:2">
      <c r="A196" s="689"/>
    </row>
    <row r="197" spans="1:2">
      <c r="A197" s="689"/>
    </row>
    <row r="198" spans="1:2">
      <c r="A198" s="689"/>
    </row>
    <row r="199" spans="1:2">
      <c r="A199" s="689"/>
    </row>
    <row r="200" spans="1:2" ht="15.75" thickBot="1">
      <c r="A200" s="352" t="str">
        <f>Translation!B338</f>
        <v>Pole Placement</v>
      </c>
    </row>
    <row r="201" spans="1:2" ht="180.75" thickTop="1">
      <c r="A201" s="688"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88"/>
      <c r="B202" s="688"/>
    </row>
    <row r="203" spans="1:2">
      <c r="A203" s="688"/>
      <c r="B203" s="688"/>
    </row>
    <row r="204" spans="1:2">
      <c r="A204" s="688"/>
      <c r="B204" s="688"/>
    </row>
    <row r="205" spans="1:2">
      <c r="A205" s="688"/>
      <c r="B205" s="688"/>
    </row>
    <row r="206" spans="1:2">
      <c r="A206" s="688"/>
      <c r="B206" s="688"/>
    </row>
    <row r="207" spans="1:2">
      <c r="A207" s="688"/>
      <c r="B207" s="688"/>
    </row>
    <row r="208" spans="1:2">
      <c r="A208" s="688"/>
      <c r="B208" s="688"/>
    </row>
    <row r="209" spans="1:2">
      <c r="A209" s="688"/>
      <c r="B209" s="688"/>
    </row>
    <row r="210" spans="1:2">
      <c r="A210" s="688"/>
      <c r="B210" s="688"/>
    </row>
    <row r="211" spans="1:2">
      <c r="A211" s="688"/>
      <c r="B211" s="688"/>
    </row>
    <row r="212" spans="1:2">
      <c r="A212" s="688"/>
      <c r="B212" s="688"/>
    </row>
    <row r="213" spans="1:2">
      <c r="A213" s="688"/>
      <c r="B213" s="688"/>
    </row>
    <row r="214" spans="1:2">
      <c r="A214" s="688"/>
      <c r="B214" s="688"/>
    </row>
    <row r="215" spans="1:2">
      <c r="A215" s="688"/>
      <c r="B215" s="688"/>
    </row>
    <row r="216" spans="1:2">
      <c r="A216" s="688"/>
      <c r="B216" s="688"/>
    </row>
    <row r="217" spans="1:2">
      <c r="A217" s="688"/>
      <c r="B217" s="688"/>
    </row>
    <row r="218" spans="1:2">
      <c r="A218" s="688"/>
      <c r="B218" s="688"/>
    </row>
    <row r="219" spans="1:2">
      <c r="A219" s="688"/>
      <c r="B219" s="688"/>
    </row>
    <row r="220" spans="1:2">
      <c r="A220" s="688"/>
      <c r="B220" s="688"/>
    </row>
    <row r="221" spans="1:2">
      <c r="A221" s="688"/>
      <c r="B221" s="688"/>
    </row>
    <row r="222" spans="1:2" ht="15.75" thickBot="1">
      <c r="A222" s="352" t="str">
        <f>Translation!B131</f>
        <v>Luminaire Mounting Height</v>
      </c>
      <c r="B222" s="688"/>
    </row>
    <row r="223" spans="1:2" ht="180.75" thickTop="1">
      <c r="A223" s="688"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88"/>
      <c r="B224" s="688"/>
    </row>
    <row r="225" spans="1:2">
      <c r="A225" s="688"/>
      <c r="B225" s="688"/>
    </row>
    <row r="226" spans="1:2">
      <c r="A226" s="688"/>
      <c r="B226" s="688"/>
    </row>
    <row r="227" spans="1:2">
      <c r="A227" s="688"/>
      <c r="B227" s="688"/>
    </row>
    <row r="228" spans="1:2">
      <c r="A228" s="688"/>
      <c r="B228" s="688"/>
    </row>
    <row r="229" spans="1:2">
      <c r="A229" s="688"/>
      <c r="B229" s="688"/>
    </row>
    <row r="230" spans="1:2">
      <c r="A230" s="688"/>
      <c r="B230" s="688"/>
    </row>
    <row r="231" spans="1:2">
      <c r="A231" s="688"/>
      <c r="B231" s="688"/>
    </row>
    <row r="232" spans="1:2">
      <c r="A232" s="688"/>
      <c r="B232" s="688"/>
    </row>
    <row r="233" spans="1:2">
      <c r="A233" s="688"/>
      <c r="B233" s="688"/>
    </row>
    <row r="234" spans="1:2">
      <c r="A234" s="688"/>
      <c r="B234" s="688"/>
    </row>
    <row r="235" spans="1:2">
      <c r="A235" s="688"/>
      <c r="B235" s="688"/>
    </row>
    <row r="236" spans="1:2">
      <c r="A236" s="688"/>
      <c r="B236" s="688"/>
    </row>
    <row r="237" spans="1:2">
      <c r="A237" s="688"/>
      <c r="B237" s="688"/>
    </row>
    <row r="238" spans="1:2">
      <c r="A238" s="688"/>
      <c r="B238" s="688"/>
    </row>
    <row r="239" spans="1:2">
      <c r="A239" s="688"/>
      <c r="B239" s="688"/>
    </row>
    <row r="240" spans="1:2">
      <c r="A240" s="688"/>
      <c r="B240" s="688"/>
    </row>
    <row r="241" spans="1:2">
      <c r="A241" s="688"/>
      <c r="B241" s="688"/>
    </row>
    <row r="242" spans="1:2">
      <c r="A242" s="688"/>
      <c r="B242" s="688"/>
    </row>
    <row r="243" spans="1:2">
      <c r="A243" s="688"/>
      <c r="B243" s="688"/>
    </row>
    <row r="244" spans="1:2" ht="15.75" thickBot="1">
      <c r="A244" s="352" t="str">
        <f>Translation!B341</f>
        <v>Pole Spacing</v>
      </c>
      <c r="B244" s="688"/>
    </row>
    <row r="245" spans="1:2" ht="135.75" thickTop="1">
      <c r="A245" s="688"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89"/>
    </row>
    <row r="246" spans="1:2" ht="269.25" customHeight="1">
      <c r="A246" s="688"/>
      <c r="B246" s="688"/>
    </row>
    <row r="247" spans="1:2">
      <c r="A247" s="688"/>
      <c r="B247" s="688"/>
    </row>
    <row r="248" spans="1:2">
      <c r="A248" s="688"/>
      <c r="B248" s="688"/>
    </row>
    <row r="249" spans="1:2">
      <c r="A249" s="688"/>
      <c r="B249" s="688"/>
    </row>
    <row r="250" spans="1:2">
      <c r="A250" s="688"/>
      <c r="B250" s="688"/>
    </row>
    <row r="251" spans="1:2">
      <c r="A251" s="688"/>
      <c r="B251" s="688"/>
    </row>
    <row r="252" spans="1:2">
      <c r="A252" s="688"/>
      <c r="B252" s="688"/>
    </row>
    <row r="253" spans="1:2">
      <c r="A253" s="688"/>
      <c r="B253" s="688"/>
    </row>
    <row r="254" spans="1:2">
      <c r="A254" s="688"/>
      <c r="B254" s="688"/>
    </row>
    <row r="255" spans="1:2">
      <c r="A255" s="688"/>
      <c r="B255" s="688"/>
    </row>
    <row r="256" spans="1:2">
      <c r="A256" s="688"/>
      <c r="B256" s="688"/>
    </row>
    <row r="257" spans="1:2">
      <c r="A257" s="688"/>
      <c r="B257" s="688"/>
    </row>
    <row r="258" spans="1:2">
      <c r="A258" s="688"/>
      <c r="B258" s="688"/>
    </row>
    <row r="259" spans="1:2">
      <c r="A259" s="688"/>
      <c r="B259" s="688"/>
    </row>
    <row r="260" spans="1:2">
      <c r="A260" s="688"/>
      <c r="B260" s="688"/>
    </row>
    <row r="261" spans="1:2">
      <c r="A261" s="688"/>
      <c r="B261" s="688"/>
    </row>
    <row r="262" spans="1:2">
      <c r="A262" s="688"/>
      <c r="B262" s="688"/>
    </row>
    <row r="263" spans="1:2">
      <c r="A263" s="688"/>
      <c r="B263" s="688"/>
    </row>
    <row r="264" spans="1:2">
      <c r="A264" s="688"/>
      <c r="B264" s="688"/>
    </row>
    <row r="265" spans="1:2" ht="15.75" thickBot="1">
      <c r="A265" s="352" t="str">
        <f>Translation!B343</f>
        <v>Pole Setback</v>
      </c>
      <c r="B265" s="688"/>
    </row>
    <row r="266" spans="1:2" ht="45.75" thickTop="1">
      <c r="A266" s="688" t="str">
        <f>Translation!B344</f>
        <v xml:space="preserve">Distance from the pole mounting to the edge of the road. Only applies to single-side and staggered configurations. 
</v>
      </c>
      <c r="B266" s="689"/>
    </row>
    <row r="267" spans="1:2" ht="37.5" customHeight="1">
      <c r="A267" s="543"/>
      <c r="B267" s="688"/>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88" t="str">
        <f>Translation!B557</f>
        <v xml:space="preserve">Indicates the horizontal distance from the center of the pole mounting to the fixture centerline. This should include  half of the length of the fixture.
</v>
      </c>
      <c r="B286" s="689"/>
    </row>
    <row r="287" spans="1:2" ht="38.25" customHeight="1">
      <c r="A287" s="688"/>
      <c r="B287" s="688"/>
    </row>
    <row r="288" spans="1:2">
      <c r="A288" s="688"/>
      <c r="B288" s="688"/>
    </row>
    <row r="289" spans="1:2">
      <c r="A289" s="688"/>
      <c r="B289" s="688"/>
    </row>
    <row r="290" spans="1:2">
      <c r="A290" s="688"/>
      <c r="B290" s="688"/>
    </row>
    <row r="291" spans="1:2">
      <c r="A291" s="688"/>
      <c r="B291" s="688"/>
    </row>
    <row r="292" spans="1:2">
      <c r="A292" s="688"/>
      <c r="B292" s="688"/>
    </row>
    <row r="293" spans="1:2">
      <c r="A293" s="688"/>
      <c r="B293" s="688"/>
    </row>
    <row r="294" spans="1:2">
      <c r="A294" s="688"/>
      <c r="B294" s="688"/>
    </row>
    <row r="295" spans="1:2">
      <c r="A295" s="688"/>
      <c r="B295" s="688"/>
    </row>
    <row r="296" spans="1:2">
      <c r="A296" s="688"/>
      <c r="B296" s="688"/>
    </row>
    <row r="297" spans="1:2">
      <c r="A297" s="688"/>
      <c r="B297" s="688"/>
    </row>
    <row r="298" spans="1:2">
      <c r="A298" s="688"/>
      <c r="B298" s="688"/>
    </row>
    <row r="299" spans="1:2">
      <c r="A299" s="688"/>
      <c r="B299" s="688"/>
    </row>
    <row r="300" spans="1:2">
      <c r="A300" s="688"/>
      <c r="B300" s="688"/>
    </row>
    <row r="301" spans="1:2">
      <c r="A301" s="688"/>
      <c r="B301" s="688"/>
    </row>
    <row r="302" spans="1:2">
      <c r="A302" s="688"/>
      <c r="B302" s="688"/>
    </row>
    <row r="303" spans="1:2">
      <c r="A303" s="688"/>
      <c r="B303" s="688"/>
    </row>
    <row r="304" spans="1:2">
      <c r="A304" s="688"/>
      <c r="B304" s="688"/>
    </row>
    <row r="305" spans="1:2">
      <c r="A305" s="688"/>
      <c r="B305" s="688"/>
    </row>
    <row r="306" spans="1:2">
      <c r="A306" s="688"/>
      <c r="B306" s="688"/>
    </row>
    <row r="307" spans="1:2">
      <c r="A307" s="688"/>
      <c r="B307" s="688"/>
    </row>
    <row r="308" spans="1:2" ht="15.75" thickBot="1">
      <c r="A308" s="354" t="str">
        <f>Translation!B346</f>
        <v>Number of Points in Grid</v>
      </c>
      <c r="B308" s="688"/>
    </row>
    <row r="309" spans="1:2" ht="135.75" thickTop="1">
      <c r="A309" s="688"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89"/>
    </row>
    <row r="310" spans="1:2" ht="24.75" customHeight="1">
      <c r="A310" s="688"/>
      <c r="B310" s="688"/>
    </row>
    <row r="311" spans="1:2">
      <c r="A311" s="688"/>
      <c r="B311" s="688"/>
    </row>
    <row r="312" spans="1:2">
      <c r="A312" s="688"/>
      <c r="B312" s="688"/>
    </row>
    <row r="313" spans="1:2">
      <c r="A313" s="688"/>
      <c r="B313" s="688"/>
    </row>
    <row r="314" spans="1:2">
      <c r="A314" s="688"/>
      <c r="B314" s="688"/>
    </row>
    <row r="315" spans="1:2">
      <c r="A315" s="688"/>
      <c r="B315" s="688"/>
    </row>
    <row r="316" spans="1:2">
      <c r="A316" s="688"/>
      <c r="B316" s="688"/>
    </row>
    <row r="317" spans="1:2">
      <c r="A317" s="688"/>
      <c r="B317" s="688"/>
    </row>
    <row r="318" spans="1:2">
      <c r="A318" s="688"/>
      <c r="B318" s="688"/>
    </row>
    <row r="319" spans="1:2">
      <c r="A319" s="688"/>
      <c r="B319" s="688"/>
    </row>
    <row r="320" spans="1:2">
      <c r="A320" s="688"/>
      <c r="B320" s="688"/>
    </row>
    <row r="321" spans="1:2">
      <c r="A321" s="688"/>
      <c r="B321" s="688"/>
    </row>
    <row r="322" spans="1:2">
      <c r="A322" s="688"/>
      <c r="B322" s="688"/>
    </row>
    <row r="323" spans="1:2">
      <c r="A323" s="688"/>
      <c r="B323" s="688"/>
    </row>
    <row r="324" spans="1:2">
      <c r="A324" s="688"/>
      <c r="B324" s="688"/>
    </row>
    <row r="325" spans="1:2">
      <c r="A325" s="688"/>
      <c r="B325" s="688"/>
    </row>
    <row r="326" spans="1:2">
      <c r="A326" s="688"/>
      <c r="B326" s="688"/>
    </row>
    <row r="327" spans="1:2">
      <c r="A327" s="688"/>
      <c r="B327" s="688"/>
    </row>
    <row r="328" spans="1:2">
      <c r="A328" s="688"/>
      <c r="B328" s="688"/>
    </row>
    <row r="329" spans="1:2">
      <c r="A329" s="688"/>
      <c r="B329" s="688"/>
    </row>
    <row r="330" spans="1:2">
      <c r="A330" s="688"/>
      <c r="B330" s="688"/>
    </row>
    <row r="331" spans="1:2">
      <c r="A331" s="688"/>
      <c r="B331" s="688"/>
    </row>
    <row r="332" spans="1:2" ht="15.75" thickBot="1">
      <c r="A332" s="354" t="str">
        <f>Translation!B352</f>
        <v>Equipment Cost ($/fixture)</v>
      </c>
      <c r="B332" s="688"/>
    </row>
    <row r="333" spans="1:2" ht="60.75" thickTop="1">
      <c r="A333" s="688"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89"/>
    </row>
    <row r="334" spans="1:2" ht="10.5" customHeight="1">
      <c r="A334" s="688"/>
      <c r="B334" s="688"/>
    </row>
    <row r="335" spans="1:2">
      <c r="A335" s="688"/>
      <c r="B335" s="688"/>
    </row>
    <row r="336" spans="1:2">
      <c r="A336" s="688"/>
      <c r="B336" s="688"/>
    </row>
    <row r="337" spans="1:2">
      <c r="A337" s="688"/>
      <c r="B337" s="688"/>
    </row>
    <row r="338" spans="1:2">
      <c r="A338" s="688"/>
      <c r="B338" s="688"/>
    </row>
    <row r="339" spans="1:2">
      <c r="A339" s="688"/>
      <c r="B339" s="688"/>
    </row>
    <row r="340" spans="1:2">
      <c r="A340" s="688"/>
      <c r="B340" s="688"/>
    </row>
    <row r="341" spans="1:2">
      <c r="A341" s="688"/>
      <c r="B341" s="688"/>
    </row>
    <row r="342" spans="1:2">
      <c r="A342" s="688"/>
      <c r="B342" s="688"/>
    </row>
    <row r="343" spans="1:2">
      <c r="A343" s="688"/>
      <c r="B343" s="688"/>
    </row>
    <row r="344" spans="1:2">
      <c r="A344" s="688"/>
      <c r="B344" s="688"/>
    </row>
    <row r="345" spans="1:2">
      <c r="A345" s="688"/>
      <c r="B345" s="688"/>
    </row>
    <row r="346" spans="1:2">
      <c r="A346" s="688"/>
      <c r="B346" s="688"/>
    </row>
    <row r="347" spans="1:2">
      <c r="A347" s="688"/>
      <c r="B347" s="688"/>
    </row>
    <row r="348" spans="1:2">
      <c r="A348" s="688"/>
      <c r="B348" s="688"/>
    </row>
    <row r="349" spans="1:2">
      <c r="A349" s="688"/>
      <c r="B349" s="688"/>
    </row>
    <row r="350" spans="1:2">
      <c r="A350" s="688"/>
      <c r="B350" s="688"/>
    </row>
    <row r="351" spans="1:2">
      <c r="A351" s="688"/>
      <c r="B351" s="688"/>
    </row>
    <row r="352" spans="1:2">
      <c r="A352" s="688"/>
      <c r="B352" s="688"/>
    </row>
    <row r="353" spans="1:2">
      <c r="A353" s="688"/>
      <c r="B353" s="688"/>
    </row>
    <row r="354" spans="1:2">
      <c r="A354" s="688"/>
      <c r="B354" s="688"/>
    </row>
    <row r="355" spans="1:2" ht="15.75" thickBot="1">
      <c r="A355" s="354" t="str">
        <f>Translation!B354</f>
        <v>One-time Rebate or Subsidy ($/fixture)</v>
      </c>
      <c r="B355" s="688"/>
    </row>
    <row r="356" spans="1:2" ht="30.75" thickTop="1">
      <c r="A356" s="688" t="str">
        <f>Translation!B355</f>
        <v xml:space="preserve">Enter any rebates or subsidies to be removed from the overall equipment cost on a per fixture basis. </v>
      </c>
      <c r="B356" s="689"/>
    </row>
    <row r="357" spans="1:2" ht="43.5" customHeight="1">
      <c r="A357" s="688"/>
      <c r="B357" s="688"/>
    </row>
    <row r="358" spans="1:2">
      <c r="A358" s="688"/>
      <c r="B358" s="688"/>
    </row>
    <row r="359" spans="1:2">
      <c r="A359" s="688"/>
      <c r="B359" s="688"/>
    </row>
    <row r="360" spans="1:2">
      <c r="A360" s="688"/>
      <c r="B360" s="688"/>
    </row>
    <row r="361" spans="1:2">
      <c r="A361" s="688"/>
      <c r="B361" s="688"/>
    </row>
    <row r="362" spans="1:2">
      <c r="A362" s="688"/>
      <c r="B362" s="688"/>
    </row>
    <row r="363" spans="1:2">
      <c r="A363" s="688"/>
      <c r="B363" s="688"/>
    </row>
    <row r="364" spans="1:2">
      <c r="A364" s="688"/>
      <c r="B364" s="688"/>
    </row>
    <row r="365" spans="1:2">
      <c r="A365" s="688"/>
      <c r="B365" s="688"/>
    </row>
    <row r="366" spans="1:2">
      <c r="A366" s="688"/>
      <c r="B366" s="688"/>
    </row>
    <row r="367" spans="1:2">
      <c r="A367" s="688"/>
      <c r="B367" s="688"/>
    </row>
    <row r="368" spans="1:2">
      <c r="A368" s="688"/>
      <c r="B368" s="688"/>
    </row>
    <row r="369" spans="1:2">
      <c r="A369" s="688"/>
      <c r="B369" s="688"/>
    </row>
    <row r="370" spans="1:2">
      <c r="A370" s="688"/>
      <c r="B370" s="688"/>
    </row>
    <row r="371" spans="1:2">
      <c r="A371" s="688"/>
      <c r="B371" s="688"/>
    </row>
    <row r="372" spans="1:2">
      <c r="A372" s="688"/>
      <c r="B372" s="688"/>
    </row>
    <row r="373" spans="1:2">
      <c r="A373" s="688"/>
      <c r="B373" s="688"/>
    </row>
    <row r="374" spans="1:2">
      <c r="A374" s="688"/>
      <c r="B374" s="688"/>
    </row>
    <row r="375" spans="1:2">
      <c r="A375" s="688"/>
      <c r="B375" s="688"/>
    </row>
    <row r="376" spans="1:2">
      <c r="A376" s="688"/>
      <c r="B376" s="688"/>
    </row>
    <row r="377" spans="1:2" ht="15.75" thickBot="1">
      <c r="A377" s="354" t="str">
        <f>Translation!B356</f>
        <v>Annual Maintenance Cost ($/year)</v>
      </c>
      <c r="B377" s="688"/>
    </row>
    <row r="378" spans="1:2" ht="90.75" thickTop="1">
      <c r="A378" s="688"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89"/>
    </row>
    <row r="379" spans="1:2" ht="50.25" customHeight="1">
      <c r="A379" s="688"/>
      <c r="B379" s="688"/>
    </row>
    <row r="380" spans="1:2">
      <c r="A380" s="688"/>
      <c r="B380" s="688"/>
    </row>
    <row r="381" spans="1:2">
      <c r="A381" s="688"/>
      <c r="B381" s="688"/>
    </row>
    <row r="382" spans="1:2">
      <c r="A382" s="688"/>
      <c r="B382" s="688"/>
    </row>
    <row r="383" spans="1:2">
      <c r="A383" s="688"/>
      <c r="B383" s="688"/>
    </row>
    <row r="384" spans="1:2">
      <c r="A384" s="688"/>
      <c r="B384" s="688"/>
    </row>
    <row r="385" spans="1:2">
      <c r="A385" s="688"/>
      <c r="B385" s="688"/>
    </row>
    <row r="386" spans="1:2">
      <c r="A386" s="688"/>
      <c r="B386" s="688"/>
    </row>
    <row r="387" spans="1:2">
      <c r="A387" s="688"/>
      <c r="B387" s="688"/>
    </row>
    <row r="388" spans="1:2">
      <c r="A388" s="688"/>
      <c r="B388" s="688"/>
    </row>
    <row r="389" spans="1:2">
      <c r="A389" s="688"/>
      <c r="B389" s="688"/>
    </row>
    <row r="390" spans="1:2">
      <c r="A390" s="688"/>
      <c r="B390" s="688"/>
    </row>
    <row r="391" spans="1:2">
      <c r="A391" s="688"/>
      <c r="B391" s="688"/>
    </row>
    <row r="392" spans="1:2">
      <c r="A392" s="688"/>
      <c r="B392" s="688"/>
    </row>
    <row r="393" spans="1:2">
      <c r="A393" s="688"/>
      <c r="B393" s="688"/>
    </row>
    <row r="394" spans="1:2">
      <c r="A394" s="688"/>
      <c r="B394" s="688"/>
    </row>
    <row r="395" spans="1:2">
      <c r="A395" s="688"/>
      <c r="B395" s="688"/>
    </row>
    <row r="396" spans="1:2">
      <c r="A396" s="688"/>
      <c r="B396" s="688"/>
    </row>
    <row r="397" spans="1:2" ht="15.75" thickBot="1">
      <c r="A397" s="354" t="str">
        <f>Translation!B358</f>
        <v>Maintenance inflation rate (%/year)</v>
      </c>
      <c r="B397" s="688"/>
    </row>
    <row r="398" spans="1:2" ht="30.75" thickTop="1">
      <c r="A398" s="688" t="str">
        <f>Translation!B359</f>
        <v xml:space="preserve">Enter the estimated inflation rate of maintenance rates due to increased labor costs, etc. </v>
      </c>
      <c r="B398" s="689"/>
    </row>
    <row r="399" spans="1:2" ht="36" customHeight="1">
      <c r="A399" s="688"/>
      <c r="B399" s="688"/>
    </row>
    <row r="400" spans="1:2">
      <c r="A400" s="688"/>
      <c r="B400" s="688"/>
    </row>
    <row r="401" spans="1:2">
      <c r="A401" s="688"/>
      <c r="B401" s="688"/>
    </row>
    <row r="402" spans="1:2">
      <c r="A402" s="688"/>
      <c r="B402" s="688"/>
    </row>
    <row r="403" spans="1:2">
      <c r="A403" s="688"/>
      <c r="B403" s="688"/>
    </row>
    <row r="404" spans="1:2">
      <c r="A404" s="688"/>
      <c r="B404" s="688"/>
    </row>
    <row r="405" spans="1:2">
      <c r="A405" s="688"/>
      <c r="B405" s="688"/>
    </row>
    <row r="406" spans="1:2">
      <c r="A406" s="688"/>
      <c r="B406" s="688"/>
    </row>
    <row r="407" spans="1:2">
      <c r="A407" s="688"/>
      <c r="B407" s="688"/>
    </row>
    <row r="408" spans="1:2">
      <c r="A408" s="688"/>
      <c r="B408" s="688"/>
    </row>
    <row r="409" spans="1:2">
      <c r="A409" s="688"/>
      <c r="B409" s="688"/>
    </row>
    <row r="410" spans="1:2">
      <c r="A410" s="688"/>
      <c r="B410" s="688"/>
    </row>
    <row r="411" spans="1:2">
      <c r="A411" s="688"/>
      <c r="B411" s="688"/>
    </row>
    <row r="412" spans="1:2">
      <c r="A412" s="688"/>
      <c r="B412" s="688"/>
    </row>
    <row r="413" spans="1:2">
      <c r="A413" s="688"/>
      <c r="B413" s="688"/>
    </row>
    <row r="414" spans="1:2">
      <c r="A414" s="688"/>
      <c r="B414" s="688"/>
    </row>
    <row r="415" spans="1:2">
      <c r="A415" s="688"/>
      <c r="B415" s="688"/>
    </row>
    <row r="416" spans="1:2">
      <c r="A416" s="688"/>
      <c r="B416" s="688"/>
    </row>
    <row r="417" spans="1:2">
      <c r="A417" s="688"/>
      <c r="B417" s="688"/>
    </row>
    <row r="418" spans="1:2" ht="15.75" thickBot="1">
      <c r="A418" s="354" t="str">
        <f>Translation!B360</f>
        <v>Lamp Lumen Depreciation</v>
      </c>
      <c r="B418" s="688"/>
    </row>
    <row r="419" spans="1:2" ht="60.75" thickTop="1">
      <c r="A419" s="688"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89"/>
    </row>
    <row r="420" spans="1:2" ht="54.75" customHeight="1">
      <c r="A420" s="688"/>
      <c r="B420" s="688"/>
    </row>
    <row r="421" spans="1:2">
      <c r="A421" s="688"/>
      <c r="B421" s="688"/>
    </row>
    <row r="422" spans="1:2">
      <c r="A422" s="688"/>
      <c r="B422" s="688"/>
    </row>
    <row r="423" spans="1:2">
      <c r="A423" s="688"/>
      <c r="B423" s="688"/>
    </row>
    <row r="424" spans="1:2">
      <c r="A424" s="688"/>
      <c r="B424" s="688"/>
    </row>
    <row r="425" spans="1:2">
      <c r="A425" s="688"/>
      <c r="B425" s="688"/>
    </row>
    <row r="426" spans="1:2">
      <c r="A426" s="688"/>
      <c r="B426" s="688"/>
    </row>
    <row r="427" spans="1:2">
      <c r="A427" s="688"/>
      <c r="B427" s="688"/>
    </row>
    <row r="428" spans="1:2">
      <c r="A428" s="688"/>
      <c r="B428" s="688"/>
    </row>
    <row r="429" spans="1:2">
      <c r="A429" s="688"/>
      <c r="B429" s="688"/>
    </row>
    <row r="430" spans="1:2">
      <c r="A430" s="688"/>
      <c r="B430" s="688"/>
    </row>
    <row r="431" spans="1:2">
      <c r="A431" s="688"/>
      <c r="B431" s="688"/>
    </row>
    <row r="432" spans="1:2">
      <c r="A432" s="688"/>
      <c r="B432" s="688"/>
    </row>
    <row r="433" spans="1:2">
      <c r="A433" s="688"/>
      <c r="B433" s="688"/>
    </row>
    <row r="434" spans="1:2">
      <c r="A434" s="688"/>
      <c r="B434" s="688"/>
    </row>
    <row r="435" spans="1:2">
      <c r="A435" s="688"/>
      <c r="B435" s="688"/>
    </row>
    <row r="436" spans="1:2">
      <c r="A436" s="688"/>
      <c r="B436" s="688"/>
    </row>
    <row r="437" spans="1:2">
      <c r="A437" s="688"/>
      <c r="B437" s="688"/>
    </row>
    <row r="438" spans="1:2">
      <c r="A438" s="688"/>
      <c r="B438" s="688"/>
    </row>
    <row r="439" spans="1:2" ht="15.75" thickBot="1">
      <c r="A439" s="354" t="str">
        <f>Translation!B362</f>
        <v>Luminaire Dirt Depreciation (design year)</v>
      </c>
      <c r="B439" s="688"/>
    </row>
    <row r="440" spans="1:2" ht="60.75" thickTop="1">
      <c r="A440" s="688"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89"/>
    </row>
    <row r="441" spans="1:2" ht="33" customHeight="1">
      <c r="A441" s="688"/>
      <c r="B441" s="688"/>
    </row>
    <row r="442" spans="1:2">
      <c r="A442" s="688"/>
      <c r="B442" s="688"/>
    </row>
    <row r="443" spans="1:2">
      <c r="A443" s="688"/>
      <c r="B443" s="688"/>
    </row>
    <row r="444" spans="1:2">
      <c r="A444" s="688"/>
      <c r="B444" s="688"/>
    </row>
    <row r="445" spans="1:2">
      <c r="A445" s="688"/>
      <c r="B445" s="688"/>
    </row>
    <row r="446" spans="1:2">
      <c r="A446" s="688"/>
      <c r="B446" s="688"/>
    </row>
    <row r="447" spans="1:2">
      <c r="A447" s="688"/>
      <c r="B447" s="688"/>
    </row>
    <row r="448" spans="1:2">
      <c r="A448" s="688"/>
      <c r="B448" s="688"/>
    </row>
    <row r="449" spans="1:2">
      <c r="A449" s="688"/>
      <c r="B449" s="688"/>
    </row>
    <row r="450" spans="1:2">
      <c r="A450" s="688"/>
      <c r="B450" s="688"/>
    </row>
    <row r="451" spans="1:2">
      <c r="A451" s="688"/>
      <c r="B451" s="688"/>
    </row>
    <row r="452" spans="1:2">
      <c r="A452" s="688"/>
      <c r="B452" s="688"/>
    </row>
    <row r="453" spans="1:2">
      <c r="A453" s="688"/>
      <c r="B453" s="688"/>
    </row>
    <row r="454" spans="1:2">
      <c r="A454" s="688"/>
      <c r="B454" s="688"/>
    </row>
    <row r="455" spans="1:2">
      <c r="A455" s="688"/>
      <c r="B455" s="688"/>
    </row>
    <row r="456" spans="1:2">
      <c r="A456" s="688"/>
      <c r="B456" s="688"/>
    </row>
    <row r="457" spans="1:2">
      <c r="A457" s="688"/>
      <c r="B457" s="688"/>
    </row>
    <row r="458" spans="1:2">
      <c r="A458" s="688"/>
      <c r="B458" s="688"/>
    </row>
    <row r="459" spans="1:2" ht="15.75" thickBot="1">
      <c r="A459" s="354" t="str">
        <f>Translation!B364</f>
        <v>Desired fixture not available in the table below?</v>
      </c>
      <c r="B459" s="688"/>
    </row>
    <row r="460" spans="1:2" ht="30.75" thickTop="1">
      <c r="A460" s="688" t="str">
        <f>Translation!B365</f>
        <v>IES files describe the light output of a fixture. You can obtain them from fixture manufacturers</v>
      </c>
      <c r="B460" s="689"/>
    </row>
    <row r="461" spans="1:2" ht="30" customHeight="1">
      <c r="A461" s="689"/>
      <c r="B461" s="688"/>
    </row>
    <row r="462" spans="1:2">
      <c r="A462" s="365"/>
    </row>
    <row r="463" spans="1:2">
      <c r="A463" s="365"/>
    </row>
    <row r="464" spans="1:2">
      <c r="A464" s="365"/>
    </row>
    <row r="465" spans="1:1">
      <c r="A465" s="691"/>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0.1</v>
      </c>
    </row>
    <row r="4" spans="2:3" ht="30">
      <c r="B4" s="175" t="str">
        <f>Costs!B10</f>
        <v>Energy Inflation Rate (%/year)</v>
      </c>
      <c r="C4" s="315">
        <f>Costs!C10</f>
        <v>0.02</v>
      </c>
    </row>
    <row r="5" spans="2:3">
      <c r="B5" s="175" t="str">
        <f>Costs!B11</f>
        <v>Discount Rate</v>
      </c>
      <c r="C5" s="315">
        <f>Costs!C11</f>
        <v>0.03</v>
      </c>
    </row>
    <row r="6" spans="2:3">
      <c r="B6" s="2"/>
    </row>
    <row r="8" spans="2:3">
      <c r="B8" s="2" t="s">
        <v>1098</v>
      </c>
    </row>
    <row r="9" spans="2:3">
      <c r="B9" s="175" t="str">
        <f>FixtureData!G$5</f>
        <v>Watts</v>
      </c>
      <c r="C9" s="259">
        <f ca="1">FixtureData!G$6</f>
        <v>91</v>
      </c>
    </row>
    <row r="10" spans="2:3">
      <c r="B10" s="175" t="str">
        <f>FixtureData!H$5</f>
        <v>Total Light Loss Factor</v>
      </c>
      <c r="C10" s="259">
        <f ca="1">FixtureData!H$6</f>
        <v>0.69000000000000006</v>
      </c>
    </row>
    <row r="11" spans="2:3">
      <c r="B11" s="175" t="str">
        <f>FixtureData!I$5</f>
        <v>kWh/fixture</v>
      </c>
      <c r="C11" s="320">
        <f ca="1">FixtureData!I$6</f>
        <v>398.58</v>
      </c>
    </row>
    <row r="12" spans="2:3">
      <c r="B12" s="175" t="str">
        <f>FixtureData!J$5</f>
        <v>kWh/kilometer/yr</v>
      </c>
      <c r="C12" s="321">
        <f ca="1">FixtureData!J$6</f>
        <v>11388</v>
      </c>
    </row>
    <row r="13" spans="2:3">
      <c r="B13" s="175" t="str">
        <f>FixtureData!K$5</f>
        <v>Equipment Cost ($/fixture)</v>
      </c>
      <c r="C13" s="322">
        <f ca="1">FixtureData!K$6</f>
        <v>500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28.571428571428573</v>
      </c>
    </row>
    <row r="20" spans="1:23">
      <c r="B20" s="175" t="s">
        <v>1107</v>
      </c>
      <c r="C20" s="324">
        <f ca="1">C13+C14-C15</f>
        <v>600</v>
      </c>
    </row>
    <row r="21" spans="1:23" ht="30">
      <c r="A21" s="1"/>
      <c r="B21" s="1"/>
      <c r="C21" s="1" t="s">
        <v>1099</v>
      </c>
      <c r="D21" s="1"/>
      <c r="E21" s="479"/>
      <c r="F21" s="1"/>
      <c r="G21" s="1"/>
      <c r="H21" s="1"/>
      <c r="I21" s="1"/>
      <c r="J21" s="1" t="s">
        <v>1100</v>
      </c>
      <c r="K21" s="1"/>
      <c r="L21" s="479"/>
      <c r="M21" s="1"/>
      <c r="N21" s="1"/>
      <c r="O21" s="1"/>
      <c r="P21" s="1"/>
      <c r="R21" t="s">
        <v>1671</v>
      </c>
    </row>
    <row r="22" spans="1:23" ht="89.25" customHeight="1">
      <c r="A22" s="1"/>
      <c r="B22" s="1"/>
      <c r="C22" s="338" t="s">
        <v>1101</v>
      </c>
      <c r="D22" s="339" t="s">
        <v>1102</v>
      </c>
      <c r="E22" s="339" t="s">
        <v>1669</v>
      </c>
      <c r="F22" s="339" t="s">
        <v>1103</v>
      </c>
      <c r="G22" s="339" t="s">
        <v>1104</v>
      </c>
      <c r="H22" s="339" t="s">
        <v>1105</v>
      </c>
      <c r="I22" s="340" t="str">
        <f>Translation!B377</f>
        <v>Net Present Value - Total Cost of Ownership</v>
      </c>
      <c r="J22" s="339" t="s">
        <v>1101</v>
      </c>
      <c r="K22" s="339" t="s">
        <v>1102</v>
      </c>
      <c r="L22" s="339"/>
      <c r="M22" s="339" t="s">
        <v>1103</v>
      </c>
      <c r="N22" s="339" t="s">
        <v>1104</v>
      </c>
      <c r="O22" s="339"/>
      <c r="P22" s="339" t="s">
        <v>1106</v>
      </c>
      <c r="R22" s="338" t="s">
        <v>1672</v>
      </c>
      <c r="S22" s="338" t="s">
        <v>1673</v>
      </c>
      <c r="T22" s="338" t="s">
        <v>1674</v>
      </c>
      <c r="U22" s="338" t="str">
        <f>Translation!B508</f>
        <v>Return on Investment (after 'x' years)</v>
      </c>
    </row>
    <row r="23" spans="1:23">
      <c r="B23">
        <v>0</v>
      </c>
      <c r="C23" s="31"/>
      <c r="D23" s="325"/>
      <c r="E23" s="325"/>
      <c r="F23" s="324"/>
      <c r="G23" s="324"/>
      <c r="H23" s="324"/>
      <c r="I23" s="324">
        <f ca="1">C20</f>
        <v>600</v>
      </c>
      <c r="J23" s="326">
        <f ca="1">$C$18*C20</f>
        <v>17142.857142857145</v>
      </c>
      <c r="K23" s="326">
        <f t="shared" ref="K23:K43" si="0">$C$18*D23</f>
        <v>0</v>
      </c>
      <c r="L23" s="326"/>
      <c r="M23" s="326">
        <f t="shared" ref="M23:M38" si="1">$C$18*F23</f>
        <v>0</v>
      </c>
      <c r="N23" s="326">
        <f t="shared" ref="N23:N38" si="2">$C$18*G23</f>
        <v>0</v>
      </c>
      <c r="O23" s="326">
        <f t="shared" ref="O23:O38" si="3">$C$18*H23</f>
        <v>0</v>
      </c>
      <c r="P23" s="326">
        <f t="shared" ref="P23:P38" ca="1" si="4">$C$18*I23</f>
        <v>17142.857142857145</v>
      </c>
      <c r="R23" s="333">
        <v>0</v>
      </c>
      <c r="S23" s="324">
        <f ca="1">I23</f>
        <v>600</v>
      </c>
      <c r="T23" s="333">
        <f ca="1">R23-S23</f>
        <v>-600</v>
      </c>
      <c r="U23" s="259" t="str">
        <f ca="1">IF(T23&gt;0,Translation!$B$509,IF(AVERAGE($T$24:$T$43)&lt;0,Translation!$B$510,""))</f>
        <v/>
      </c>
      <c r="V23" s="494"/>
    </row>
    <row r="24" spans="1:23">
      <c r="A24" t="s">
        <v>1108</v>
      </c>
      <c r="B24" s="327">
        <v>1</v>
      </c>
      <c r="C24" s="328">
        <f t="shared" ref="C24:C43" ca="1" si="5">$C$16*(1+$C$17)^$B24</f>
        <v>25.5</v>
      </c>
      <c r="D24" s="328">
        <f t="shared" ref="D24:D43" ca="1" si="6">$C$11*$C$3*(1+$C$4)^B24</f>
        <v>40.655160000000002</v>
      </c>
      <c r="E24" s="328">
        <f ca="1">D24+C24</f>
        <v>66.155159999999995</v>
      </c>
      <c r="F24" s="329">
        <f t="shared" ref="F24:F43" ca="1" si="7">(C24)/(1+$C$5)^$B24</f>
        <v>24.757281553398059</v>
      </c>
      <c r="G24" s="329">
        <f t="shared" ref="G24:G43" ca="1" si="8">(D24)/(1+$C$5)^$B24</f>
        <v>39.471029126213594</v>
      </c>
      <c r="H24" s="329">
        <f ca="1">F24+G24</f>
        <v>64.228310679611653</v>
      </c>
      <c r="I24" s="328">
        <f t="shared" ref="I24:I43" ca="1" si="9">I23+G24+F24</f>
        <v>664.2283106796117</v>
      </c>
      <c r="J24" s="326">
        <f t="shared" ref="J24:J43" ca="1" si="10">$C$18*C24</f>
        <v>728.57142857142856</v>
      </c>
      <c r="K24" s="326">
        <f t="shared" ca="1" si="0"/>
        <v>1161.576</v>
      </c>
      <c r="L24" s="326"/>
      <c r="M24" s="326">
        <f t="shared" ca="1" si="1"/>
        <v>707.35090152565886</v>
      </c>
      <c r="N24" s="326">
        <f t="shared" ca="1" si="2"/>
        <v>1127.7436893203885</v>
      </c>
      <c r="O24" s="326">
        <f t="shared" ca="1" si="3"/>
        <v>1835.0945908460474</v>
      </c>
      <c r="P24" s="326">
        <f t="shared" ca="1" si="4"/>
        <v>18977.951733703194</v>
      </c>
      <c r="R24" s="333">
        <v>66.155159999999995</v>
      </c>
      <c r="S24" s="501">
        <f ca="1">E24</f>
        <v>66.155159999999995</v>
      </c>
      <c r="T24" s="333">
        <f t="shared" ref="T24:T43" ca="1" si="11">R24-S24</f>
        <v>0</v>
      </c>
      <c r="U24" s="502" t="e">
        <f ca="1">IF(U$23&lt;&gt;"",$U$23,IRR(T$23:T24))</f>
        <v>#NUM!</v>
      </c>
      <c r="V24" s="494"/>
      <c r="W24" s="500"/>
    </row>
    <row r="25" spans="1:23">
      <c r="B25" s="327">
        <v>2</v>
      </c>
      <c r="C25" s="328">
        <f t="shared" ca="1" si="5"/>
        <v>26.009999999999998</v>
      </c>
      <c r="D25" s="328">
        <f t="shared" ca="1" si="6"/>
        <v>41.468263200000003</v>
      </c>
      <c r="E25" s="328">
        <f t="shared" ref="E25:E43" ca="1" si="12">D25+C25</f>
        <v>67.478263200000001</v>
      </c>
      <c r="F25" s="329">
        <f t="shared" ca="1" si="7"/>
        <v>24.51691959656895</v>
      </c>
      <c r="G25" s="329">
        <f t="shared" ca="1" si="8"/>
        <v>39.08781525120181</v>
      </c>
      <c r="H25" s="329">
        <f t="shared" ref="H25:H43" ca="1" si="13">F25+G25</f>
        <v>63.604734847770757</v>
      </c>
      <c r="I25" s="328">
        <f t="shared" ca="1" si="9"/>
        <v>727.83304552738252</v>
      </c>
      <c r="J25" s="326">
        <f t="shared" ca="1" si="10"/>
        <v>743.14285714285711</v>
      </c>
      <c r="K25" s="326">
        <f t="shared" ca="1" si="0"/>
        <v>1184.8075200000001</v>
      </c>
      <c r="L25" s="326"/>
      <c r="M25" s="326">
        <f t="shared" ca="1" si="1"/>
        <v>700.48341704482721</v>
      </c>
      <c r="N25" s="326">
        <f t="shared" ca="1" si="2"/>
        <v>1116.7947214629089</v>
      </c>
      <c r="O25" s="326">
        <f t="shared" ca="1" si="3"/>
        <v>1817.278138507736</v>
      </c>
      <c r="P25" s="326">
        <f t="shared" ca="1" si="4"/>
        <v>20795.22987221093</v>
      </c>
      <c r="R25" s="333">
        <v>67.478263200000001</v>
      </c>
      <c r="S25" s="501">
        <f t="shared" ref="S25:S43" ca="1" si="14">E25</f>
        <v>67.478263200000001</v>
      </c>
      <c r="T25" s="333">
        <f t="shared" ca="1" si="11"/>
        <v>0</v>
      </c>
      <c r="U25" s="502" t="e">
        <f ca="1">IF(U$23&lt;&gt;"","-",IRR(T$23:T25))</f>
        <v>#NUM!</v>
      </c>
      <c r="V25" s="494"/>
      <c r="W25" s="500"/>
    </row>
    <row r="26" spans="1:23">
      <c r="B26" s="327">
        <v>3</v>
      </c>
      <c r="C26" s="328">
        <f t="shared" ca="1" si="5"/>
        <v>26.530199999999997</v>
      </c>
      <c r="D26" s="328">
        <f t="shared" ca="1" si="6"/>
        <v>42.297628463999999</v>
      </c>
      <c r="E26" s="328">
        <f t="shared" ca="1" si="12"/>
        <v>68.827828463999992</v>
      </c>
      <c r="F26" s="329">
        <f t="shared" ca="1" si="7"/>
        <v>24.278891250971192</v>
      </c>
      <c r="G26" s="329">
        <f t="shared" ca="1" si="8"/>
        <v>38.708321899248396</v>
      </c>
      <c r="H26" s="329">
        <f t="shared" ca="1" si="13"/>
        <v>62.987213150219588</v>
      </c>
      <c r="I26" s="328">
        <f t="shared" ca="1" si="9"/>
        <v>790.82025867760217</v>
      </c>
      <c r="J26" s="326">
        <f t="shared" ca="1" si="10"/>
        <v>758.00571428571425</v>
      </c>
      <c r="K26" s="326">
        <f t="shared" ca="1" si="0"/>
        <v>1208.5036703999999</v>
      </c>
      <c r="L26" s="326"/>
      <c r="M26" s="326">
        <f t="shared" ca="1" si="1"/>
        <v>693.68260717060548</v>
      </c>
      <c r="N26" s="326">
        <f t="shared" ca="1" si="2"/>
        <v>1105.9520542642399</v>
      </c>
      <c r="O26" s="326">
        <f t="shared" ca="1" si="3"/>
        <v>1799.6346614348454</v>
      </c>
      <c r="P26" s="326">
        <f t="shared" ca="1" si="4"/>
        <v>22594.864533645778</v>
      </c>
      <c r="R26" s="333">
        <v>68.827828463999992</v>
      </c>
      <c r="S26" s="501">
        <f t="shared" ca="1" si="14"/>
        <v>68.827828463999992</v>
      </c>
      <c r="T26" s="333">
        <f t="shared" ca="1" si="11"/>
        <v>0</v>
      </c>
      <c r="U26" s="502" t="e">
        <f ca="1">IF(U$23&lt;&gt;"","-",IRR(T$23:T26))</f>
        <v>#NUM!</v>
      </c>
      <c r="V26" s="494"/>
      <c r="W26" s="500"/>
    </row>
    <row r="27" spans="1:23">
      <c r="B27" s="327">
        <v>4</v>
      </c>
      <c r="C27" s="328">
        <f t="shared" ca="1" si="5"/>
        <v>27.060804000000001</v>
      </c>
      <c r="D27" s="328">
        <f t="shared" ca="1" si="6"/>
        <v>43.14358103328</v>
      </c>
      <c r="E27" s="328">
        <f t="shared" ca="1" si="12"/>
        <v>70.204385033280005</v>
      </c>
      <c r="F27" s="329">
        <f t="shared" ca="1" si="7"/>
        <v>24.043173860185068</v>
      </c>
      <c r="G27" s="329">
        <f t="shared" ca="1" si="8"/>
        <v>38.332512948770258</v>
      </c>
      <c r="H27" s="329">
        <f t="shared" ca="1" si="13"/>
        <v>62.375686808955322</v>
      </c>
      <c r="I27" s="328">
        <f t="shared" ca="1" si="9"/>
        <v>853.19594548655755</v>
      </c>
      <c r="J27" s="326">
        <f t="shared" ca="1" si="10"/>
        <v>773.16582857142862</v>
      </c>
      <c r="K27" s="326">
        <f t="shared" ca="1" si="0"/>
        <v>1232.6737438080002</v>
      </c>
      <c r="L27" s="326"/>
      <c r="M27" s="326">
        <f t="shared" ca="1" si="1"/>
        <v>686.94782457671624</v>
      </c>
      <c r="N27" s="326">
        <f t="shared" ca="1" si="2"/>
        <v>1095.2146556791504</v>
      </c>
      <c r="O27" s="326">
        <f t="shared" ca="1" si="3"/>
        <v>1782.1624802558665</v>
      </c>
      <c r="P27" s="326">
        <f t="shared" ca="1" si="4"/>
        <v>24377.027013901647</v>
      </c>
      <c r="R27" s="333">
        <v>70.204385033280005</v>
      </c>
      <c r="S27" s="501">
        <f t="shared" ca="1" si="14"/>
        <v>70.204385033280005</v>
      </c>
      <c r="T27" s="333">
        <f t="shared" ca="1" si="11"/>
        <v>0</v>
      </c>
      <c r="U27" s="502" t="e">
        <f ca="1">IF(U$23&lt;&gt;"","-",IRR(T$23:T27))</f>
        <v>#NUM!</v>
      </c>
      <c r="V27" s="494"/>
      <c r="W27" s="500"/>
    </row>
    <row r="28" spans="1:23">
      <c r="B28" s="327">
        <v>5</v>
      </c>
      <c r="C28" s="328">
        <f t="shared" ca="1" si="5"/>
        <v>27.602020079999999</v>
      </c>
      <c r="D28" s="328">
        <f t="shared" ca="1" si="6"/>
        <v>44.006452653945608</v>
      </c>
      <c r="E28" s="328">
        <f t="shared" ca="1" si="12"/>
        <v>71.608472733945604</v>
      </c>
      <c r="F28" s="329">
        <f t="shared" ca="1" si="7"/>
        <v>23.809744987756087</v>
      </c>
      <c r="G28" s="329">
        <f t="shared" ca="1" si="8"/>
        <v>37.960352628879292</v>
      </c>
      <c r="H28" s="329">
        <f t="shared" ca="1" si="13"/>
        <v>61.770097616635383</v>
      </c>
      <c r="I28" s="328">
        <f t="shared" ca="1" si="9"/>
        <v>914.96604310319287</v>
      </c>
      <c r="J28" s="326">
        <f t="shared" ca="1" si="10"/>
        <v>788.62914514285717</v>
      </c>
      <c r="K28" s="326">
        <f t="shared" ca="1" si="0"/>
        <v>1257.3272186841602</v>
      </c>
      <c r="L28" s="326"/>
      <c r="M28" s="326">
        <f t="shared" ca="1" si="1"/>
        <v>680.27842822160255</v>
      </c>
      <c r="N28" s="326">
        <f t="shared" ca="1" si="2"/>
        <v>1084.5815036822655</v>
      </c>
      <c r="O28" s="326">
        <f t="shared" ca="1" si="3"/>
        <v>1764.8599319038681</v>
      </c>
      <c r="P28" s="326">
        <f t="shared" ca="1" si="4"/>
        <v>26141.886945805512</v>
      </c>
      <c r="R28" s="333">
        <v>71.608472733945604</v>
      </c>
      <c r="S28" s="501">
        <f t="shared" ca="1" si="14"/>
        <v>71.608472733945604</v>
      </c>
      <c r="T28" s="333">
        <f t="shared" ca="1" si="11"/>
        <v>0</v>
      </c>
      <c r="U28" s="502" t="e">
        <f ca="1">IF(U$23&lt;&gt;"","-",IRR(T$23:T28))</f>
        <v>#NUM!</v>
      </c>
      <c r="V28" s="494"/>
      <c r="W28" s="500"/>
    </row>
    <row r="29" spans="1:23">
      <c r="B29" s="327">
        <v>6</v>
      </c>
      <c r="C29" s="328">
        <f t="shared" ca="1" si="5"/>
        <v>28.154060481600002</v>
      </c>
      <c r="D29" s="328">
        <f t="shared" ca="1" si="6"/>
        <v>44.886581707024519</v>
      </c>
      <c r="E29" s="328">
        <f t="shared" ca="1" si="12"/>
        <v>73.040642188624517</v>
      </c>
      <c r="F29" s="329">
        <f t="shared" ca="1" si="7"/>
        <v>23.578582415059426</v>
      </c>
      <c r="G29" s="329">
        <f t="shared" ca="1" si="8"/>
        <v>37.591805515977548</v>
      </c>
      <c r="H29" s="329">
        <f t="shared" ca="1" si="13"/>
        <v>61.17038793103697</v>
      </c>
      <c r="I29" s="328">
        <f t="shared" ca="1" si="9"/>
        <v>976.13643103422976</v>
      </c>
      <c r="J29" s="326">
        <f t="shared" ca="1" si="10"/>
        <v>804.40172804571444</v>
      </c>
      <c r="K29" s="326">
        <f t="shared" ca="1" si="0"/>
        <v>1282.4737630578434</v>
      </c>
      <c r="L29" s="326"/>
      <c r="M29" s="326">
        <f t="shared" ca="1" si="1"/>
        <v>673.67378328741222</v>
      </c>
      <c r="N29" s="326">
        <f t="shared" ca="1" si="2"/>
        <v>1074.0515861707872</v>
      </c>
      <c r="O29" s="326">
        <f t="shared" ca="1" si="3"/>
        <v>1747.7253694581993</v>
      </c>
      <c r="P29" s="326">
        <f t="shared" ca="1" si="4"/>
        <v>27889.612315263708</v>
      </c>
      <c r="R29" s="333">
        <v>73.040642188624517</v>
      </c>
      <c r="S29" s="501">
        <f t="shared" ca="1" si="14"/>
        <v>73.040642188624517</v>
      </c>
      <c r="T29" s="333">
        <f t="shared" ca="1" si="11"/>
        <v>0</v>
      </c>
      <c r="U29" s="502" t="e">
        <f ca="1">IF(U$23&lt;&gt;"","-",IRR(T$23:T29))</f>
        <v>#NUM!</v>
      </c>
      <c r="V29" s="494"/>
      <c r="W29" s="500"/>
    </row>
    <row r="30" spans="1:23">
      <c r="B30" s="327">
        <v>7</v>
      </c>
      <c r="C30" s="328">
        <f t="shared" ca="1" si="5"/>
        <v>28.717141691231994</v>
      </c>
      <c r="D30" s="328">
        <f t="shared" ca="1" si="6"/>
        <v>45.784313341165003</v>
      </c>
      <c r="E30" s="328">
        <f t="shared" ca="1" si="12"/>
        <v>74.50145503239699</v>
      </c>
      <c r="F30" s="329">
        <f t="shared" ca="1" si="7"/>
        <v>23.349664139185055</v>
      </c>
      <c r="G30" s="329">
        <f t="shared" ca="1" si="8"/>
        <v>37.226836530385526</v>
      </c>
      <c r="H30" s="329">
        <f t="shared" ca="1" si="13"/>
        <v>60.576500669570578</v>
      </c>
      <c r="I30" s="328">
        <f t="shared" ca="1" si="9"/>
        <v>1036.7129317038005</v>
      </c>
      <c r="J30" s="326">
        <f t="shared" ca="1" si="10"/>
        <v>820.48976260662846</v>
      </c>
      <c r="K30" s="326">
        <f t="shared" ca="1" si="0"/>
        <v>1308.1232383190002</v>
      </c>
      <c r="L30" s="326"/>
      <c r="M30" s="326">
        <f t="shared" ca="1" si="1"/>
        <v>667.13326111957304</v>
      </c>
      <c r="N30" s="326">
        <f t="shared" ca="1" si="2"/>
        <v>1063.623900868158</v>
      </c>
      <c r="O30" s="326">
        <f t="shared" ca="1" si="3"/>
        <v>1730.7571619877308</v>
      </c>
      <c r="P30" s="326">
        <f t="shared" ca="1" si="4"/>
        <v>29620.369477251443</v>
      </c>
      <c r="R30" s="333">
        <v>74.50145503239699</v>
      </c>
      <c r="S30" s="501">
        <f t="shared" ca="1" si="14"/>
        <v>74.50145503239699</v>
      </c>
      <c r="T30" s="333">
        <f t="shared" ca="1" si="11"/>
        <v>0</v>
      </c>
      <c r="U30" s="502" t="e">
        <f ca="1">IF(U$23&lt;&gt;"","-",IRR(T$23:T30))</f>
        <v>#NUM!</v>
      </c>
      <c r="V30" s="494"/>
      <c r="W30" s="500"/>
    </row>
    <row r="31" spans="1:23">
      <c r="B31" s="327">
        <v>8</v>
      </c>
      <c r="C31" s="328">
        <f t="shared" ca="1" si="5"/>
        <v>29.291484525056639</v>
      </c>
      <c r="D31" s="328">
        <f t="shared" ca="1" si="6"/>
        <v>46.699999607988303</v>
      </c>
      <c r="E31" s="328">
        <f t="shared" ca="1" si="12"/>
        <v>75.991484133044935</v>
      </c>
      <c r="F31" s="329">
        <f t="shared" ca="1" si="7"/>
        <v>23.122968370843459</v>
      </c>
      <c r="G31" s="329">
        <f t="shared" ca="1" si="8"/>
        <v>36.865410933003147</v>
      </c>
      <c r="H31" s="329">
        <f t="shared" ca="1" si="13"/>
        <v>59.988379303846607</v>
      </c>
      <c r="I31" s="328">
        <f t="shared" ca="1" si="9"/>
        <v>1096.7013110076471</v>
      </c>
      <c r="J31" s="326">
        <f t="shared" ca="1" si="10"/>
        <v>836.89955785876111</v>
      </c>
      <c r="K31" s="326">
        <f t="shared" ca="1" si="0"/>
        <v>1334.2857030853802</v>
      </c>
      <c r="L31" s="326"/>
      <c r="M31" s="326">
        <f t="shared" ca="1" si="1"/>
        <v>660.65623916695597</v>
      </c>
      <c r="N31" s="326">
        <f t="shared" ca="1" si="2"/>
        <v>1053.2974552286614</v>
      </c>
      <c r="O31" s="326">
        <f t="shared" ca="1" si="3"/>
        <v>1713.9536943956175</v>
      </c>
      <c r="P31" s="326">
        <f t="shared" ca="1" si="4"/>
        <v>31334.323171647062</v>
      </c>
      <c r="R31" s="333">
        <v>75.991484133044935</v>
      </c>
      <c r="S31" s="501">
        <f t="shared" ca="1" si="14"/>
        <v>75.991484133044935</v>
      </c>
      <c r="T31" s="333">
        <f t="shared" ca="1" si="11"/>
        <v>0</v>
      </c>
      <c r="U31" s="502" t="e">
        <f ca="1">IF(U$23&lt;&gt;"","-",IRR(T$23:T31))</f>
        <v>#NUM!</v>
      </c>
      <c r="V31" s="494"/>
      <c r="W31" s="500"/>
    </row>
    <row r="32" spans="1:23">
      <c r="B32" s="327">
        <v>9</v>
      </c>
      <c r="C32" s="328">
        <f t="shared" ca="1" si="5"/>
        <v>29.877314215557771</v>
      </c>
      <c r="D32" s="328">
        <f t="shared" ca="1" si="6"/>
        <v>47.633999600148073</v>
      </c>
      <c r="E32" s="328">
        <f t="shared" ca="1" si="12"/>
        <v>77.511313815705847</v>
      </c>
      <c r="F32" s="329">
        <f t="shared" ca="1" si="7"/>
        <v>22.898473532291579</v>
      </c>
      <c r="G32" s="329">
        <f t="shared" ca="1" si="8"/>
        <v>36.507494322003119</v>
      </c>
      <c r="H32" s="329">
        <f t="shared" ca="1" si="13"/>
        <v>59.405967854294701</v>
      </c>
      <c r="I32" s="328">
        <f t="shared" ca="1" si="9"/>
        <v>1156.1072788619417</v>
      </c>
      <c r="J32" s="326">
        <f t="shared" ca="1" si="10"/>
        <v>853.63754901593632</v>
      </c>
      <c r="K32" s="326">
        <f t="shared" ca="1" si="0"/>
        <v>1360.9714171470878</v>
      </c>
      <c r="L32" s="326"/>
      <c r="M32" s="326">
        <f t="shared" ca="1" si="1"/>
        <v>654.2421009226166</v>
      </c>
      <c r="N32" s="326">
        <f t="shared" ca="1" si="2"/>
        <v>1043.0712663429463</v>
      </c>
      <c r="O32" s="326">
        <f t="shared" ca="1" si="3"/>
        <v>1697.3133672655629</v>
      </c>
      <c r="P32" s="326">
        <f t="shared" ca="1" si="4"/>
        <v>33031.636538912622</v>
      </c>
      <c r="R32" s="333">
        <v>77.511313815705847</v>
      </c>
      <c r="S32" s="501">
        <f t="shared" ca="1" si="14"/>
        <v>77.511313815705847</v>
      </c>
      <c r="T32" s="333">
        <f t="shared" ca="1" si="11"/>
        <v>0</v>
      </c>
      <c r="U32" s="502" t="e">
        <f ca="1">IF(U$23&lt;&gt;"","-",IRR(T$23:T32))</f>
        <v>#NUM!</v>
      </c>
      <c r="V32" s="494"/>
      <c r="W32" s="500"/>
    </row>
    <row r="33" spans="2:23">
      <c r="B33" s="327">
        <v>10</v>
      </c>
      <c r="C33" s="328">
        <f t="shared" ca="1" si="5"/>
        <v>30.474860499868928</v>
      </c>
      <c r="D33" s="328">
        <f t="shared" ca="1" si="6"/>
        <v>48.586679592151036</v>
      </c>
      <c r="E33" s="328">
        <f t="shared" ca="1" si="12"/>
        <v>79.061540092019968</v>
      </c>
      <c r="F33" s="329">
        <f t="shared" ca="1" si="7"/>
        <v>22.676158255279041</v>
      </c>
      <c r="G33" s="329">
        <f t="shared" ca="1" si="8"/>
        <v>36.153052629556484</v>
      </c>
      <c r="H33" s="329">
        <f t="shared" ca="1" si="13"/>
        <v>58.829210884835526</v>
      </c>
      <c r="I33" s="328">
        <f t="shared" ca="1" si="9"/>
        <v>1214.9364897467772</v>
      </c>
      <c r="J33" s="326">
        <f t="shared" ca="1" si="10"/>
        <v>870.71029999625512</v>
      </c>
      <c r="K33" s="326">
        <f t="shared" ca="1" si="0"/>
        <v>1388.1908454900297</v>
      </c>
      <c r="L33" s="326"/>
      <c r="M33" s="326">
        <f t="shared" ca="1" si="1"/>
        <v>647.89023586511553</v>
      </c>
      <c r="N33" s="326">
        <f t="shared" ca="1" si="2"/>
        <v>1032.944360844471</v>
      </c>
      <c r="O33" s="326">
        <f t="shared" ca="1" si="3"/>
        <v>1680.8345967095865</v>
      </c>
      <c r="P33" s="326">
        <f t="shared" ca="1" si="4"/>
        <v>34712.471135622203</v>
      </c>
      <c r="R33" s="333">
        <v>79.061540092019968</v>
      </c>
      <c r="S33" s="501">
        <f t="shared" ca="1" si="14"/>
        <v>79.061540092019968</v>
      </c>
      <c r="T33" s="333">
        <f t="shared" ca="1" si="11"/>
        <v>0</v>
      </c>
      <c r="U33" s="502" t="e">
        <f ca="1">IF(U$23&lt;&gt;"","-",IRR(T$23:T33))</f>
        <v>#NUM!</v>
      </c>
      <c r="V33" s="494"/>
      <c r="W33" s="500"/>
    </row>
    <row r="34" spans="2:23">
      <c r="B34" s="327">
        <v>11</v>
      </c>
      <c r="C34" s="328">
        <f t="shared" ca="1" si="5"/>
        <v>31.0843577098663</v>
      </c>
      <c r="D34" s="328">
        <f t="shared" ca="1" si="6"/>
        <v>49.558413183994048</v>
      </c>
      <c r="E34" s="328">
        <f t="shared" ca="1" si="12"/>
        <v>80.642770893860344</v>
      </c>
      <c r="F34" s="329">
        <f t="shared" ca="1" si="7"/>
        <v>22.456001379014193</v>
      </c>
      <c r="G34" s="329">
        <f t="shared" ca="1" si="8"/>
        <v>35.802052118589913</v>
      </c>
      <c r="H34" s="329">
        <f t="shared" ca="1" si="13"/>
        <v>58.258053497604109</v>
      </c>
      <c r="I34" s="328">
        <f t="shared" ca="1" si="9"/>
        <v>1273.1945432443813</v>
      </c>
      <c r="J34" s="326">
        <f t="shared" ca="1" si="10"/>
        <v>888.12450599618001</v>
      </c>
      <c r="K34" s="326">
        <f t="shared" ca="1" si="0"/>
        <v>1415.9546623998301</v>
      </c>
      <c r="L34" s="326"/>
      <c r="M34" s="326">
        <f t="shared" ca="1" si="1"/>
        <v>641.60003940040554</v>
      </c>
      <c r="N34" s="326">
        <f t="shared" ca="1" si="2"/>
        <v>1022.9157748168547</v>
      </c>
      <c r="O34" s="326">
        <f t="shared" ca="1" si="3"/>
        <v>1664.5158142172604</v>
      </c>
      <c r="P34" s="326">
        <f t="shared" ca="1" si="4"/>
        <v>36376.986949839469</v>
      </c>
      <c r="R34" s="333">
        <v>80.642770893860344</v>
      </c>
      <c r="S34" s="501">
        <f t="shared" ca="1" si="14"/>
        <v>80.642770893860344</v>
      </c>
      <c r="T34" s="333">
        <f t="shared" ca="1" si="11"/>
        <v>0</v>
      </c>
      <c r="U34" s="502" t="e">
        <f ca="1">IF(U$23&lt;&gt;"","-",IRR(T$23:T34))</f>
        <v>#NUM!</v>
      </c>
      <c r="V34" s="494"/>
      <c r="W34" s="500"/>
    </row>
    <row r="35" spans="2:23">
      <c r="B35" s="327">
        <v>12</v>
      </c>
      <c r="C35" s="328">
        <f t="shared" ca="1" si="5"/>
        <v>31.706044864063632</v>
      </c>
      <c r="D35" s="328">
        <f t="shared" ca="1" si="6"/>
        <v>50.549581447673937</v>
      </c>
      <c r="E35" s="328">
        <f t="shared" ca="1" si="12"/>
        <v>82.255626311737572</v>
      </c>
      <c r="F35" s="329">
        <f t="shared" ca="1" si="7"/>
        <v>22.237981948149983</v>
      </c>
      <c r="G35" s="329">
        <f t="shared" ca="1" si="8"/>
        <v>35.454459379574487</v>
      </c>
      <c r="H35" s="329">
        <f t="shared" ca="1" si="13"/>
        <v>57.692441327724467</v>
      </c>
      <c r="I35" s="328">
        <f t="shared" ca="1" si="9"/>
        <v>1330.8869845721058</v>
      </c>
      <c r="J35" s="326">
        <f t="shared" ca="1" si="10"/>
        <v>905.88699611610377</v>
      </c>
      <c r="K35" s="326">
        <f t="shared" ca="1" si="0"/>
        <v>1444.2737556478269</v>
      </c>
      <c r="L35" s="326"/>
      <c r="M35" s="326">
        <f t="shared" ca="1" si="1"/>
        <v>635.37091280428524</v>
      </c>
      <c r="N35" s="326">
        <f t="shared" ca="1" si="2"/>
        <v>1012.9845537021282</v>
      </c>
      <c r="O35" s="326">
        <f t="shared" ca="1" si="3"/>
        <v>1648.3554665064134</v>
      </c>
      <c r="P35" s="326">
        <f t="shared" ca="1" si="4"/>
        <v>38025.342416345884</v>
      </c>
      <c r="R35" s="333">
        <v>82.255626311737572</v>
      </c>
      <c r="S35" s="501">
        <f t="shared" ca="1" si="14"/>
        <v>82.255626311737572</v>
      </c>
      <c r="T35" s="333">
        <f t="shared" ca="1" si="11"/>
        <v>0</v>
      </c>
      <c r="U35" s="502" t="e">
        <f ca="1">IF(U$23&lt;&gt;"","-",IRR(T$23:T35))</f>
        <v>#NUM!</v>
      </c>
      <c r="V35" s="494"/>
      <c r="W35" s="500"/>
    </row>
    <row r="36" spans="2:23">
      <c r="B36" s="327">
        <v>13</v>
      </c>
      <c r="C36" s="328">
        <f t="shared" ca="1" si="5"/>
        <v>32.340165761344899</v>
      </c>
      <c r="D36" s="328">
        <f t="shared" ca="1" si="6"/>
        <v>51.560573076627406</v>
      </c>
      <c r="E36" s="328">
        <f t="shared" ca="1" si="12"/>
        <v>83.900738837972312</v>
      </c>
      <c r="F36" s="329">
        <f t="shared" ca="1" si="7"/>
        <v>22.0220792107893</v>
      </c>
      <c r="G36" s="329">
        <f t="shared" ca="1" si="8"/>
        <v>35.110241327345605</v>
      </c>
      <c r="H36" s="329">
        <f t="shared" ca="1" si="13"/>
        <v>57.132320538134906</v>
      </c>
      <c r="I36" s="328">
        <f t="shared" ca="1" si="9"/>
        <v>1388.0193051102408</v>
      </c>
      <c r="J36" s="326">
        <f t="shared" ca="1" si="10"/>
        <v>924.00473603842579</v>
      </c>
      <c r="K36" s="326">
        <f t="shared" ca="1" si="0"/>
        <v>1473.1592307607832</v>
      </c>
      <c r="L36" s="326"/>
      <c r="M36" s="326">
        <f t="shared" ca="1" si="1"/>
        <v>629.20226316540857</v>
      </c>
      <c r="N36" s="326">
        <f t="shared" ca="1" si="2"/>
        <v>1003.1497522098745</v>
      </c>
      <c r="O36" s="326">
        <f t="shared" ca="1" si="3"/>
        <v>1632.3520153752831</v>
      </c>
      <c r="P36" s="326">
        <f t="shared" ca="1" si="4"/>
        <v>39657.694431721167</v>
      </c>
      <c r="R36" s="333">
        <v>83.900738837972312</v>
      </c>
      <c r="S36" s="501">
        <f t="shared" ca="1" si="14"/>
        <v>83.900738837972312</v>
      </c>
      <c r="T36" s="333">
        <f t="shared" ca="1" si="11"/>
        <v>0</v>
      </c>
      <c r="U36" s="502" t="e">
        <f ca="1">IF(U$23&lt;&gt;"","-",IRR(T$23:T36))</f>
        <v>#NUM!</v>
      </c>
      <c r="V36" s="494"/>
      <c r="W36" s="500"/>
    </row>
    <row r="37" spans="2:23">
      <c r="B37" s="327">
        <v>14</v>
      </c>
      <c r="C37" s="328">
        <f t="shared" ca="1" si="5"/>
        <v>32.986969076571803</v>
      </c>
      <c r="D37" s="328">
        <f t="shared" ca="1" si="6"/>
        <v>52.591784538159963</v>
      </c>
      <c r="E37" s="328">
        <f t="shared" ca="1" si="12"/>
        <v>85.578753614731767</v>
      </c>
      <c r="F37" s="329">
        <f t="shared" ca="1" si="7"/>
        <v>21.808272616509797</v>
      </c>
      <c r="G37" s="329">
        <f t="shared" ca="1" si="8"/>
        <v>34.769365197953903</v>
      </c>
      <c r="H37" s="329">
        <f t="shared" ca="1" si="13"/>
        <v>56.577637814463699</v>
      </c>
      <c r="I37" s="328">
        <f t="shared" ca="1" si="9"/>
        <v>1444.5969429247045</v>
      </c>
      <c r="J37" s="326">
        <f t="shared" ca="1" si="10"/>
        <v>942.48483075919444</v>
      </c>
      <c r="K37" s="326">
        <f t="shared" ca="1" si="0"/>
        <v>1502.622415375999</v>
      </c>
      <c r="L37" s="326"/>
      <c r="M37" s="326">
        <f t="shared" ca="1" si="1"/>
        <v>623.0935033288514</v>
      </c>
      <c r="N37" s="326">
        <f t="shared" ca="1" si="2"/>
        <v>993.41043422725443</v>
      </c>
      <c r="O37" s="326">
        <f t="shared" ca="1" si="3"/>
        <v>1616.5039375561057</v>
      </c>
      <c r="P37" s="326">
        <f t="shared" ca="1" si="4"/>
        <v>41274.198369277277</v>
      </c>
      <c r="R37" s="333">
        <v>85.578753614731767</v>
      </c>
      <c r="S37" s="501">
        <f t="shared" ca="1" si="14"/>
        <v>85.578753614731767</v>
      </c>
      <c r="T37" s="333">
        <f t="shared" ca="1" si="11"/>
        <v>0</v>
      </c>
      <c r="U37" s="502" t="e">
        <f ca="1">IF(U$23&lt;&gt;"","-",IRR(T$23:T37))</f>
        <v>#NUM!</v>
      </c>
      <c r="V37" s="494"/>
      <c r="W37" s="500"/>
    </row>
    <row r="38" spans="2:23">
      <c r="B38" s="327">
        <v>15</v>
      </c>
      <c r="C38" s="328">
        <f t="shared" ca="1" si="5"/>
        <v>33.646708458103234</v>
      </c>
      <c r="D38" s="328">
        <f t="shared" ca="1" si="6"/>
        <v>53.643620228923147</v>
      </c>
      <c r="E38" s="328">
        <f t="shared" ca="1" si="12"/>
        <v>87.290328687026374</v>
      </c>
      <c r="F38" s="329">
        <f t="shared" ca="1" si="7"/>
        <v>21.596541814407754</v>
      </c>
      <c r="G38" s="329">
        <f t="shared" ca="1" si="8"/>
        <v>34.43179854554657</v>
      </c>
      <c r="H38" s="329">
        <f t="shared" ca="1" si="13"/>
        <v>56.028340359954328</v>
      </c>
      <c r="I38" s="328">
        <f t="shared" ca="1" si="9"/>
        <v>1500.625283284659</v>
      </c>
      <c r="J38" s="326">
        <f t="shared" ca="1" si="10"/>
        <v>961.33452737437813</v>
      </c>
      <c r="K38" s="326">
        <f t="shared" ca="1" si="0"/>
        <v>1532.6748636835187</v>
      </c>
      <c r="L38" s="326"/>
      <c r="M38" s="326">
        <f t="shared" ca="1" si="1"/>
        <v>617.04405184022153</v>
      </c>
      <c r="N38" s="326">
        <f t="shared" ca="1" si="2"/>
        <v>983.76567272990201</v>
      </c>
      <c r="O38" s="326">
        <f t="shared" ca="1" si="3"/>
        <v>1600.8097245701238</v>
      </c>
      <c r="P38" s="326">
        <f t="shared" ca="1" si="4"/>
        <v>42875.008093847398</v>
      </c>
      <c r="R38" s="333">
        <v>87.290328687026374</v>
      </c>
      <c r="S38" s="501">
        <f t="shared" ca="1" si="14"/>
        <v>87.290328687026374</v>
      </c>
      <c r="T38" s="333">
        <f t="shared" ca="1" si="11"/>
        <v>0</v>
      </c>
      <c r="U38" s="502" t="e">
        <f ca="1">IF(U$23&lt;&gt;"","-",IRR(T$23:T38))</f>
        <v>#NUM!</v>
      </c>
      <c r="V38" s="494"/>
      <c r="W38" s="500"/>
    </row>
    <row r="39" spans="2:23">
      <c r="B39" s="327">
        <v>16</v>
      </c>
      <c r="C39" s="328">
        <f t="shared" ca="1" si="5"/>
        <v>34.319642627265303</v>
      </c>
      <c r="D39" s="328">
        <f t="shared" ca="1" si="6"/>
        <v>54.716492633501623</v>
      </c>
      <c r="E39" s="328">
        <f t="shared" ca="1" si="12"/>
        <v>89.036135260766926</v>
      </c>
      <c r="F39" s="329">
        <f t="shared" ca="1" si="7"/>
        <v>21.386866651161082</v>
      </c>
      <c r="G39" s="329">
        <f t="shared" ca="1" si="8"/>
        <v>34.097509239279141</v>
      </c>
      <c r="H39" s="329">
        <f t="shared" ca="1" si="13"/>
        <v>55.484375890440219</v>
      </c>
      <c r="I39" s="328">
        <f t="shared" ca="1" si="9"/>
        <v>1556.1096591750991</v>
      </c>
      <c r="J39" s="326">
        <f t="shared" ca="1" si="10"/>
        <v>980.56121792186582</v>
      </c>
      <c r="K39" s="326">
        <f t="shared" ca="1" si="0"/>
        <v>1563.3283609571893</v>
      </c>
      <c r="L39" s="326"/>
      <c r="M39" s="326">
        <f t="shared" ref="M39:N43" ca="1" si="15">$C$18*F39</f>
        <v>611.05333289031671</v>
      </c>
      <c r="N39" s="326">
        <f t="shared" ca="1" si="15"/>
        <v>974.21454969368983</v>
      </c>
      <c r="O39" s="326">
        <f t="shared" ref="O39:P43" ca="1" si="16">$C$18*H39</f>
        <v>1585.2678825840064</v>
      </c>
      <c r="P39" s="326">
        <f t="shared" ca="1" si="16"/>
        <v>44460.275976431403</v>
      </c>
      <c r="R39" s="333">
        <v>89.036135260766926</v>
      </c>
      <c r="S39" s="501">
        <f t="shared" ca="1" si="14"/>
        <v>89.036135260766926</v>
      </c>
      <c r="T39" s="333">
        <f t="shared" ca="1" si="11"/>
        <v>0</v>
      </c>
      <c r="U39" s="502" t="e">
        <f ca="1">IF(U$23&lt;&gt;"","-",IRR(T$23:T39))</f>
        <v>#NUM!</v>
      </c>
      <c r="V39" s="494"/>
      <c r="W39" s="500"/>
    </row>
    <row r="40" spans="2:23">
      <c r="B40" s="327">
        <v>17</v>
      </c>
      <c r="C40" s="328">
        <f t="shared" ca="1" si="5"/>
        <v>35.006035479810613</v>
      </c>
      <c r="D40" s="328">
        <f t="shared" ca="1" si="6"/>
        <v>55.810822486171659</v>
      </c>
      <c r="E40" s="328">
        <f t="shared" ca="1" si="12"/>
        <v>90.81685796598228</v>
      </c>
      <c r="F40" s="329">
        <f t="shared" ca="1" si="7"/>
        <v>21.179227169110977</v>
      </c>
      <c r="G40" s="329">
        <f t="shared" ca="1" si="8"/>
        <v>33.766465460257017</v>
      </c>
      <c r="H40" s="329">
        <f t="shared" ca="1" si="13"/>
        <v>54.945692629367997</v>
      </c>
      <c r="I40" s="328">
        <f t="shared" ca="1" si="9"/>
        <v>1611.0553518044671</v>
      </c>
      <c r="J40" s="326">
        <f t="shared" ca="1" si="10"/>
        <v>1000.1724422803032</v>
      </c>
      <c r="K40" s="326">
        <f t="shared" ca="1" si="0"/>
        <v>1594.5949281763333</v>
      </c>
      <c r="L40" s="326"/>
      <c r="M40" s="326">
        <f t="shared" ca="1" si="15"/>
        <v>605.12077626031362</v>
      </c>
      <c r="N40" s="326">
        <f t="shared" ca="1" si="15"/>
        <v>964.75615600734341</v>
      </c>
      <c r="O40" s="326">
        <f t="shared" ca="1" si="16"/>
        <v>1569.8769322676571</v>
      </c>
      <c r="P40" s="326">
        <f t="shared" ca="1" si="16"/>
        <v>46030.152908699063</v>
      </c>
      <c r="R40" s="333">
        <v>90.81685796598228</v>
      </c>
      <c r="S40" s="501">
        <f t="shared" ca="1" si="14"/>
        <v>90.81685796598228</v>
      </c>
      <c r="T40" s="333">
        <f t="shared" ca="1" si="11"/>
        <v>0</v>
      </c>
      <c r="U40" s="502" t="e">
        <f ca="1">IF(U$23&lt;&gt;"","-",IRR(T$23:T40))</f>
        <v>#NUM!</v>
      </c>
      <c r="V40" s="494"/>
      <c r="W40" s="500"/>
    </row>
    <row r="41" spans="2:23">
      <c r="B41" s="327">
        <v>18</v>
      </c>
      <c r="C41" s="328">
        <f t="shared" ca="1" si="5"/>
        <v>35.706156189406819</v>
      </c>
      <c r="D41" s="328">
        <f t="shared" ca="1" si="6"/>
        <v>56.927038935895084</v>
      </c>
      <c r="E41" s="328">
        <f t="shared" ca="1" si="12"/>
        <v>92.63319512530191</v>
      </c>
      <c r="F41" s="329">
        <f t="shared" ca="1" si="7"/>
        <v>20.973603604362324</v>
      </c>
      <c r="G41" s="329">
        <f t="shared" ca="1" si="8"/>
        <v>33.438635698506943</v>
      </c>
      <c r="H41" s="329">
        <f t="shared" ca="1" si="13"/>
        <v>54.412239302869267</v>
      </c>
      <c r="I41" s="328">
        <f t="shared" ca="1" si="9"/>
        <v>1665.4675911073364</v>
      </c>
      <c r="J41" s="326">
        <f t="shared" ca="1" si="10"/>
        <v>1020.1758911259092</v>
      </c>
      <c r="K41" s="326">
        <f t="shared" ca="1" si="0"/>
        <v>1626.4868267398597</v>
      </c>
      <c r="L41" s="326"/>
      <c r="M41" s="326">
        <f t="shared" ca="1" si="15"/>
        <v>599.245817267495</v>
      </c>
      <c r="N41" s="326">
        <f t="shared" ca="1" si="15"/>
        <v>955.38959138591269</v>
      </c>
      <c r="O41" s="326">
        <f t="shared" ca="1" si="16"/>
        <v>1554.6354086534077</v>
      </c>
      <c r="P41" s="326">
        <f t="shared" ca="1" si="16"/>
        <v>47584.788317352468</v>
      </c>
      <c r="R41" s="333">
        <v>92.63319512530191</v>
      </c>
      <c r="S41" s="501">
        <f t="shared" ca="1" si="14"/>
        <v>92.63319512530191</v>
      </c>
      <c r="T41" s="333">
        <f t="shared" ca="1" si="11"/>
        <v>0</v>
      </c>
      <c r="U41" s="502" t="e">
        <f ca="1">IF(U$23&lt;&gt;"","-",IRR(T$23:T41))</f>
        <v>#NUM!</v>
      </c>
      <c r="V41" s="494"/>
      <c r="W41" s="500"/>
    </row>
    <row r="42" spans="2:23">
      <c r="B42" s="327">
        <v>19</v>
      </c>
      <c r="C42" s="328">
        <f t="shared" ca="1" si="5"/>
        <v>36.420279313194953</v>
      </c>
      <c r="D42" s="328">
        <f t="shared" ca="1" si="6"/>
        <v>58.065579714612987</v>
      </c>
      <c r="E42" s="328">
        <f t="shared" ca="1" si="12"/>
        <v>94.485859027807948</v>
      </c>
      <c r="F42" s="329">
        <f t="shared" ca="1" si="7"/>
        <v>20.769976384902495</v>
      </c>
      <c r="G42" s="329">
        <f t="shared" ca="1" si="8"/>
        <v>33.11398874997775</v>
      </c>
      <c r="H42" s="329">
        <f t="shared" ca="1" si="13"/>
        <v>53.883965134880242</v>
      </c>
      <c r="I42" s="328">
        <f t="shared" ca="1" si="9"/>
        <v>1719.3515562422167</v>
      </c>
      <c r="J42" s="326">
        <f t="shared" ca="1" si="10"/>
        <v>1040.5794089484273</v>
      </c>
      <c r="K42" s="326">
        <f t="shared" ca="1" si="0"/>
        <v>1659.0165632746568</v>
      </c>
      <c r="L42" s="326"/>
      <c r="M42" s="326">
        <f t="shared" ca="1" si="15"/>
        <v>593.4278967114999</v>
      </c>
      <c r="N42" s="326">
        <f t="shared" ca="1" si="15"/>
        <v>946.11396428507862</v>
      </c>
      <c r="O42" s="326">
        <f t="shared" ca="1" si="16"/>
        <v>1539.5418609965784</v>
      </c>
      <c r="P42" s="326">
        <f t="shared" ca="1" si="16"/>
        <v>49124.330178349053</v>
      </c>
      <c r="R42" s="333">
        <v>94.485859027807948</v>
      </c>
      <c r="S42" s="501">
        <f t="shared" ca="1" si="14"/>
        <v>94.485859027807948</v>
      </c>
      <c r="T42" s="333">
        <f t="shared" ca="1" si="11"/>
        <v>0</v>
      </c>
      <c r="U42" s="502" t="e">
        <f ca="1">IF(U$23&lt;&gt;"","-",IRR(T$23:T42))</f>
        <v>#NUM!</v>
      </c>
      <c r="V42" s="494"/>
      <c r="W42" s="500"/>
    </row>
    <row r="43" spans="2:23">
      <c r="B43" s="327">
        <v>20</v>
      </c>
      <c r="C43" s="328">
        <f t="shared" ca="1" si="5"/>
        <v>37.148684899458857</v>
      </c>
      <c r="D43" s="328">
        <f t="shared" ca="1" si="6"/>
        <v>59.226891308905252</v>
      </c>
      <c r="E43" s="328">
        <f t="shared" ca="1" si="12"/>
        <v>96.375576208364109</v>
      </c>
      <c r="F43" s="329">
        <f t="shared" ca="1" si="7"/>
        <v>20.568326128738395</v>
      </c>
      <c r="G43" s="329">
        <f t="shared" ca="1" si="8"/>
        <v>32.792493713570202</v>
      </c>
      <c r="H43" s="329">
        <f t="shared" ca="1" si="13"/>
        <v>53.360819842308601</v>
      </c>
      <c r="I43" s="328">
        <f t="shared" ca="1" si="9"/>
        <v>1772.7123760845252</v>
      </c>
      <c r="J43" s="326">
        <f t="shared" ca="1" si="10"/>
        <v>1061.3909971273961</v>
      </c>
      <c r="K43" s="326">
        <f t="shared" ca="1" si="0"/>
        <v>1692.1968945401502</v>
      </c>
      <c r="L43" s="326"/>
      <c r="M43" s="326">
        <f t="shared" ca="1" si="15"/>
        <v>587.66646082109708</v>
      </c>
      <c r="N43" s="326">
        <f t="shared" ca="1" si="15"/>
        <v>936.92839181629154</v>
      </c>
      <c r="O43" s="326">
        <f t="shared" ca="1" si="16"/>
        <v>1524.5948526373886</v>
      </c>
      <c r="P43" s="326">
        <f t="shared" ca="1" si="16"/>
        <v>50648.925030986436</v>
      </c>
      <c r="R43" s="333">
        <v>96.375576208364109</v>
      </c>
      <c r="S43" s="501">
        <f t="shared" ca="1" si="14"/>
        <v>96.375576208364109</v>
      </c>
      <c r="T43" s="333">
        <f t="shared" ca="1" si="11"/>
        <v>0</v>
      </c>
      <c r="U43" s="502" t="e">
        <f ca="1">IF(U$23&lt;&gt;"","-",IRR(T$23:T43))</f>
        <v>#NUM!</v>
      </c>
      <c r="V43" s="494"/>
      <c r="W43" s="500"/>
    </row>
    <row r="44" spans="2:23">
      <c r="E44" s="481"/>
      <c r="L44" s="481"/>
    </row>
    <row r="45" spans="2:23">
      <c r="B45" s="2" t="s">
        <v>1125</v>
      </c>
    </row>
    <row r="46" spans="2:23">
      <c r="B46" s="175" t="str">
        <f>Translation!C373</f>
        <v>Total Installation Cost</v>
      </c>
      <c r="C46" s="333">
        <f ca="1">C20</f>
        <v>600</v>
      </c>
    </row>
    <row r="47" spans="2:23">
      <c r="B47" s="175" t="str">
        <f>Translation!C374</f>
        <v>Total Annual Cost</v>
      </c>
      <c r="C47" s="333">
        <f ca="1">C3*C11+C16</f>
        <v>64.858000000000004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16" t="str">
        <f>Translation!$B$350</f>
        <v>The assumptions below are the default costs used when adding a new IES file. They can be overwritten for each individual fixture on the 'Fixtures' tab</v>
      </c>
      <c r="B2" s="916"/>
      <c r="C2" s="916"/>
    </row>
    <row r="5" spans="1:4">
      <c r="A5" s="284" t="s">
        <v>66</v>
      </c>
      <c r="B5" s="285" t="str">
        <f>Fixtures!K36</f>
        <v>Equipment Cost ($/fixture)</v>
      </c>
      <c r="C5" s="114">
        <v>500</v>
      </c>
    </row>
    <row r="6" spans="1:4">
      <c r="B6" s="286" t="str">
        <f>Fixtures!L36</f>
        <v>Installation Cost ($/fixture)</v>
      </c>
      <c r="C6" s="115">
        <v>100</v>
      </c>
      <c r="D6" s="20" t="s">
        <v>1665</v>
      </c>
    </row>
    <row r="7" spans="1:4">
      <c r="B7" s="287" t="str">
        <f>Fixtures!N36</f>
        <v>Annual Maintenance Cost ($/year)</v>
      </c>
      <c r="C7" s="115">
        <v>25</v>
      </c>
      <c r="D7" s="20" t="s">
        <v>1666</v>
      </c>
    </row>
    <row r="8" spans="1:4">
      <c r="B8" s="288" t="str">
        <f>Fixtures!O36</f>
        <v>Maintenance inflation rate (%/year)</v>
      </c>
      <c r="C8" s="289">
        <v>0.02</v>
      </c>
      <c r="D8" s="294" t="s">
        <v>1667</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331</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96</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95</v>
      </c>
      <c r="I23" s="32"/>
      <c r="J23" s="32"/>
    </row>
    <row r="24" spans="2:10">
      <c r="B24" s="291" t="s">
        <v>1070</v>
      </c>
      <c r="C24" s="18">
        <v>0.88</v>
      </c>
      <c r="D24" s="20" t="s">
        <v>1207</v>
      </c>
      <c r="I24" s="32"/>
      <c r="J24" s="32"/>
    </row>
    <row r="25" spans="2:10">
      <c r="B25" s="293" t="s">
        <v>1071</v>
      </c>
      <c r="C25" s="18">
        <v>0.88</v>
      </c>
      <c r="D25" s="20" t="s">
        <v>1207</v>
      </c>
      <c r="I25" s="32"/>
      <c r="J25" s="32"/>
    </row>
    <row r="26" spans="2:10">
      <c r="B26" s="293" t="s">
        <v>1072</v>
      </c>
      <c r="C26" s="18">
        <v>0.88</v>
      </c>
      <c r="D26" s="20" t="s">
        <v>1207</v>
      </c>
      <c r="I26" s="32"/>
    </row>
    <row r="27" spans="2:10">
      <c r="I27" s="32"/>
      <c r="J27" s="284"/>
    </row>
    <row r="28" spans="2:10">
      <c r="B28" s="290" t="s">
        <v>288</v>
      </c>
      <c r="I28" s="32"/>
    </row>
    <row r="29" spans="2:10">
      <c r="B29" s="291" t="s">
        <v>1073</v>
      </c>
      <c r="C29" s="18">
        <v>1</v>
      </c>
      <c r="I29" s="32"/>
    </row>
    <row r="30" spans="2:10">
      <c r="B30" s="293" t="s">
        <v>1074</v>
      </c>
      <c r="C30" s="116">
        <v>1</v>
      </c>
      <c r="I30" s="32"/>
    </row>
    <row r="31" spans="2:10">
      <c r="B31" s="293" t="s">
        <v>1075</v>
      </c>
      <c r="C31" s="116">
        <v>1</v>
      </c>
      <c r="I31" s="32"/>
    </row>
    <row r="34" spans="2:5">
      <c r="B34" s="21"/>
      <c r="C34" s="35"/>
      <c r="D34" s="19"/>
    </row>
    <row r="35" spans="2:5">
      <c r="B35" s="110"/>
      <c r="C35" s="112"/>
    </row>
    <row r="36" spans="2:5">
      <c r="B36" s="117"/>
      <c r="C36" s="118"/>
    </row>
    <row r="37" spans="2:5">
      <c r="B37" s="111"/>
      <c r="C37" s="113"/>
    </row>
    <row r="40" spans="2:5">
      <c r="B40" s="32" t="s">
        <v>1983</v>
      </c>
    </row>
    <row r="42" spans="2:5">
      <c r="B42" s="632" t="str">
        <f>Translation!B11</f>
        <v>English</v>
      </c>
      <c r="C42" s="32" t="s">
        <v>344</v>
      </c>
      <c r="D42" s="20" t="s">
        <v>1965</v>
      </c>
      <c r="E42" s="20" t="s">
        <v>1966</v>
      </c>
    </row>
    <row r="43" spans="2:5">
      <c r="B43" s="632" t="str">
        <f>INDEX($C43:$E43,MATCH($B$42,$C$42:$E$42,0))</f>
        <v>HPS</v>
      </c>
      <c r="C43" s="32" t="s">
        <v>0</v>
      </c>
      <c r="D43" s="32" t="s">
        <v>1986</v>
      </c>
      <c r="E43" s="20" t="s">
        <v>1984</v>
      </c>
    </row>
    <row r="44" spans="2:5">
      <c r="B44" s="632" t="str">
        <f>INDEX($C44:$E44,MATCH($B$42,$C$42:$E$42,0))</f>
        <v>MH</v>
      </c>
      <c r="C44" s="32" t="s">
        <v>331</v>
      </c>
      <c r="D44" s="32" t="s">
        <v>331</v>
      </c>
      <c r="E44" s="20" t="s">
        <v>1985</v>
      </c>
    </row>
    <row r="45" spans="2:5">
      <c r="B45" s="632" t="str">
        <f>INDEX($C45:$E45,MATCH($B$42,$C$42:$E$42,0))</f>
        <v>LED</v>
      </c>
      <c r="C45" s="32" t="s">
        <v>66</v>
      </c>
      <c r="D45" s="32" t="s">
        <v>66</v>
      </c>
      <c r="E45" s="20" t="s">
        <v>66</v>
      </c>
    </row>
  </sheetData>
  <mergeCells count="1">
    <mergeCell ref="A2:C2"/>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2220"/>
  <sheetViews>
    <sheetView zoomScaleNormal="100" workbookViewId="0">
      <selection activeCell="G14" sqref="G14"/>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7" width="7" style="256" customWidth="1"/>
    <col min="18" max="18" width="34.28515625" style="256" customWidth="1"/>
    <col min="19" max="52" width="7" style="256" customWidth="1"/>
    <col min="53" max="16384" width="9.140625" style="256"/>
  </cols>
  <sheetData>
    <row r="1" spans="1:15" s="22" customFormat="1"/>
    <row r="2" spans="1:15" s="22" customFormat="1">
      <c r="A2" s="24" t="s">
        <v>44</v>
      </c>
      <c r="B2" s="16">
        <v>9</v>
      </c>
    </row>
    <row r="3" spans="1:15" s="22" customFormat="1" ht="30">
      <c r="A3" s="24" t="s">
        <v>45</v>
      </c>
      <c r="B3" s="16">
        <v>10</v>
      </c>
    </row>
    <row r="4" spans="1:15" s="22" customFormat="1">
      <c r="A4" s="24" t="s">
        <v>48</v>
      </c>
      <c r="B4" s="17">
        <f t="array" ref="B4">MAX(IF(LEN(B41:B38105)&gt;0,ROW(B41:B38105),0))-ROW(FxLib_start)+1</f>
        <v>2180</v>
      </c>
    </row>
    <row r="5" spans="1:15"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row>
    <row r="6" spans="1:15" s="22" customFormat="1" ht="15.75" thickBot="1">
      <c r="A6" s="659" t="s">
        <v>19</v>
      </c>
      <c r="B6" s="61" t="str">
        <f ca="1">INDEX(B$18:B$20,MATCH($A$6,$A$18:$A$20,0))</f>
        <v>ATB2_40B_LED_E70_XXXXX_R2.ies</v>
      </c>
      <c r="G6" s="55">
        <f t="shared" ref="G6:O6" ca="1" si="1">INDEX(G$18:G$20,MATCH($A$6,$A$18:$A$20,0))</f>
        <v>91</v>
      </c>
      <c r="H6" s="55">
        <f t="shared" ca="1" si="1"/>
        <v>0.69000000000000006</v>
      </c>
      <c r="I6" s="55">
        <f t="shared" ca="1" si="1"/>
        <v>398.58</v>
      </c>
      <c r="J6" s="55">
        <f t="shared" ca="1" si="1"/>
        <v>11388</v>
      </c>
      <c r="K6" s="318">
        <f t="shared" ca="1" si="1"/>
        <v>500</v>
      </c>
      <c r="L6" s="318">
        <f t="shared" ca="1" si="1"/>
        <v>100</v>
      </c>
      <c r="M6" s="318">
        <f t="shared" ca="1" si="1"/>
        <v>0</v>
      </c>
      <c r="N6" s="318">
        <f t="shared" ca="1" si="1"/>
        <v>25</v>
      </c>
      <c r="O6" s="319">
        <f t="shared" ca="1" si="1"/>
        <v>0.02</v>
      </c>
    </row>
    <row r="7" spans="1:15" s="22" customFormat="1">
      <c r="A7" s="60" t="s">
        <v>9</v>
      </c>
      <c r="B7" s="57">
        <f ca="1">MATCH(B6,FxLib_names,0)-1</f>
        <v>2050</v>
      </c>
    </row>
    <row r="8" spans="1:15" s="22" customFormat="1">
      <c r="A8" s="56" t="s">
        <v>68</v>
      </c>
      <c r="B8" s="57" t="str">
        <f ca="1">OFFSET($A$41,B7+1,1)</f>
        <v>American Electric Lighting</v>
      </c>
    </row>
    <row r="9" spans="1:15" s="22" customFormat="1">
      <c r="A9" s="56" t="s">
        <v>1</v>
      </c>
      <c r="B9" s="57" t="str">
        <f ca="1">OFFSET($A$41,B7+2,1)</f>
        <v>LED</v>
      </c>
    </row>
    <row r="10" spans="1:15" s="22" customFormat="1">
      <c r="A10" s="56" t="s">
        <v>69</v>
      </c>
      <c r="B10" s="57" t="str">
        <f ca="1">OFFSET($A$41,B7+3,1)</f>
        <v>ATB2 40B LED E70 XXXXX R2</v>
      </c>
    </row>
    <row r="11" spans="1:15" s="22" customFormat="1">
      <c r="A11" s="56" t="s">
        <v>41</v>
      </c>
      <c r="B11" s="57">
        <f ca="1">OFFSET($A$41,B7+4,1)</f>
        <v>91</v>
      </c>
    </row>
    <row r="12" spans="1:15" s="22" customFormat="1">
      <c r="A12" s="56" t="s">
        <v>71</v>
      </c>
      <c r="B12" s="57" t="str">
        <f ca="1">OFFSET($A$41,B7+5,1)</f>
        <v>TYPE III, MEDIUM, BUG RATING: B2 - U0 - G3</v>
      </c>
    </row>
    <row r="13" spans="1:15" s="22" customFormat="1">
      <c r="A13" s="56" t="s">
        <v>46</v>
      </c>
      <c r="B13" s="57">
        <f ca="1">OFFSET($A$41,B7+6,1)</f>
        <v>0</v>
      </c>
    </row>
    <row r="14" spans="1:15" s="22" customFormat="1" ht="33" customHeight="1">
      <c r="A14" s="56" t="s">
        <v>42</v>
      </c>
      <c r="B14" s="57">
        <f ca="1">OFFSET($A$41,B7+7,1)</f>
        <v>73</v>
      </c>
    </row>
    <row r="15" spans="1:15" s="22" customFormat="1" ht="15.75" thickBot="1">
      <c r="A15" s="58" t="s">
        <v>43</v>
      </c>
      <c r="B15" s="59">
        <f ca="1">OFFSET($A$41,B7+8,1)</f>
        <v>37</v>
      </c>
    </row>
    <row r="16" spans="1:15" s="22" customFormat="1">
      <c r="A16" s="261" t="s">
        <v>576</v>
      </c>
      <c r="B16" s="262">
        <f ca="1">ROW(FxLib_start)+offset</f>
        <v>2091</v>
      </c>
    </row>
    <row r="17" spans="1:15" s="22" customFormat="1" ht="72.75" customHeight="1" thickBot="1">
      <c r="A17" s="261" t="s">
        <v>577</v>
      </c>
      <c r="B17" s="262">
        <f ca="1">ROW(FxLib_start)+offset+Hrow+numhoriz-1</f>
        <v>2137</v>
      </c>
      <c r="G17" s="223" t="s">
        <v>49</v>
      </c>
      <c r="H17" s="223" t="s">
        <v>548</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row>
    <row r="18" spans="1:15" s="22" customFormat="1">
      <c r="A18" s="264" t="s">
        <v>22</v>
      </c>
      <c r="B18" s="267" t="str">
        <f ca="1">INDEX(FixtureChoices,Bfixturechoice)</f>
        <v>ATB2_40B_LED_E70_XXXXX_R2.ies</v>
      </c>
      <c r="C18" s="300">
        <v>41</v>
      </c>
      <c r="D18" s="22" t="s">
        <v>1081</v>
      </c>
      <c r="G18" s="303">
        <f ca="1">INDEX(FixtureWatts,FixtureData!C18)</f>
        <v>91</v>
      </c>
      <c r="H18" s="304">
        <f ca="1">INDEX(FixtureLOM,FixtureData!C18)</f>
        <v>0.69000000000000006</v>
      </c>
      <c r="I18" s="305">
        <f ca="1">(FixtureData!G18/1000)*Costs!$C$8</f>
        <v>398.58</v>
      </c>
      <c r="J18" s="305">
        <f ca="1">I18*'Road Geometry'!C51</f>
        <v>11388</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row>
    <row r="19" spans="1:15" s="22" customFormat="1">
      <c r="A19" s="265" t="s">
        <v>19</v>
      </c>
      <c r="B19" s="268" t="str">
        <f ca="1">INDEX(FixtureChoices,Ufixturechoice)</f>
        <v>ATB2_40B_LED_E70_XXXXX_R2.ies</v>
      </c>
      <c r="C19" s="300">
        <v>41</v>
      </c>
      <c r="D19" s="22" t="s">
        <v>1082</v>
      </c>
      <c r="G19" s="303">
        <f ca="1">INDEX(FixtureWatts,FixtureData!C19)</f>
        <v>91</v>
      </c>
      <c r="H19" s="304">
        <f ca="1">INDEX(FixtureLOM,FixtureData!C19)</f>
        <v>0.69000000000000006</v>
      </c>
      <c r="I19" s="305">
        <f ca="1">(FixtureData!G19/1000)*Costs!$C$8</f>
        <v>398.58</v>
      </c>
      <c r="J19" s="305">
        <f ca="1">I19*'Road Geometry'!C77</f>
        <v>11388</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row>
    <row r="20" spans="1:15" s="22" customFormat="1">
      <c r="A20" s="266" t="s">
        <v>580</v>
      </c>
      <c r="B20" s="269" t="str">
        <f ca="1">'Delete IES'!$C$20</f>
        <v>T - MH 150W Type IV Very Short</v>
      </c>
    </row>
    <row r="21" spans="1:15" s="22" customFormat="1"/>
    <row r="22" spans="1:15" s="22" customFormat="1"/>
    <row r="23" spans="1:15" s="22" customFormat="1">
      <c r="A23" s="168" t="s">
        <v>1258</v>
      </c>
      <c r="B23" s="36" t="s">
        <v>1249</v>
      </c>
    </row>
    <row r="24" spans="1:15" s="22" customFormat="1"/>
    <row r="25" spans="1:15" s="22" customFormat="1"/>
    <row r="26" spans="1:15" s="22" customFormat="1"/>
    <row r="27" spans="1:15" s="22" customFormat="1"/>
    <row r="28" spans="1:15" s="22" customFormat="1"/>
    <row r="29" spans="1:15" s="22" customFormat="1"/>
    <row r="30" spans="1:15" s="22" customFormat="1" ht="15" customHeight="1"/>
    <row r="31" spans="1:15" s="22" customFormat="1" ht="15" customHeight="1"/>
    <row r="32" spans="1:15"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47</v>
      </c>
    </row>
    <row r="42" spans="1:2">
      <c r="B42" s="22" t="s">
        <v>550</v>
      </c>
    </row>
    <row r="43" spans="1:2">
      <c r="B43" s="256" t="s">
        <v>525</v>
      </c>
    </row>
    <row r="44" spans="1:2">
      <c r="B44" s="256" t="s">
        <v>0</v>
      </c>
    </row>
    <row r="45" spans="1:2">
      <c r="B45" s="256" t="s">
        <v>316</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551</v>
      </c>
    </row>
    <row r="77" spans="1:52">
      <c r="A77" s="253"/>
      <c r="B77" s="256" t="s">
        <v>525</v>
      </c>
    </row>
    <row r="78" spans="1:52">
      <c r="A78" s="253"/>
      <c r="B78" s="256" t="s">
        <v>0</v>
      </c>
    </row>
    <row r="79" spans="1:52">
      <c r="A79" s="253"/>
      <c r="B79" s="256" t="s">
        <v>316</v>
      </c>
    </row>
    <row r="80" spans="1:52">
      <c r="A80" s="253"/>
      <c r="B80" s="256">
        <v>115</v>
      </c>
    </row>
    <row r="81" spans="1:38">
      <c r="A81" s="253"/>
      <c r="B81" s="256" t="s">
        <v>114</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552</v>
      </c>
    </row>
    <row r="160" spans="1:38">
      <c r="A160" s="253"/>
      <c r="B160" s="256" t="s">
        <v>525</v>
      </c>
    </row>
    <row r="161" spans="1:74">
      <c r="A161" s="253"/>
      <c r="B161" s="256" t="s">
        <v>0</v>
      </c>
    </row>
    <row r="162" spans="1:74">
      <c r="A162" s="253"/>
      <c r="B162" s="256" t="s">
        <v>316</v>
      </c>
    </row>
    <row r="163" spans="1:74">
      <c r="A163" s="253"/>
      <c r="B163" s="256">
        <v>130</v>
      </c>
    </row>
    <row r="164" spans="1:74">
      <c r="A164" s="253"/>
      <c r="B164" s="256" t="s">
        <v>115</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553</v>
      </c>
    </row>
    <row r="243" spans="1:74" ht="14.25" customHeight="1">
      <c r="A243" s="253"/>
      <c r="B243" s="256" t="s">
        <v>525</v>
      </c>
    </row>
    <row r="244" spans="1:74" ht="14.25" customHeight="1">
      <c r="A244" s="253"/>
      <c r="B244" s="256" t="s">
        <v>0</v>
      </c>
    </row>
    <row r="245" spans="1:74">
      <c r="A245" s="253"/>
      <c r="B245" s="256" t="s">
        <v>316</v>
      </c>
    </row>
    <row r="246" spans="1:74">
      <c r="A246" s="253"/>
      <c r="B246" s="256">
        <v>189</v>
      </c>
    </row>
    <row r="247" spans="1:74">
      <c r="A247" s="253"/>
      <c r="B247" s="256" t="s">
        <v>335</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554</v>
      </c>
    </row>
    <row r="326" spans="1:39">
      <c r="B326" s="256" t="s">
        <v>525</v>
      </c>
    </row>
    <row r="327" spans="1:39">
      <c r="B327" s="256" t="s">
        <v>0</v>
      </c>
    </row>
    <row r="328" spans="1:39">
      <c r="B328" s="256" t="s">
        <v>316</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555</v>
      </c>
    </row>
    <row r="358" spans="1:39">
      <c r="B358" s="256" t="s">
        <v>525</v>
      </c>
    </row>
    <row r="359" spans="1:39">
      <c r="B359" s="256" t="s">
        <v>0</v>
      </c>
    </row>
    <row r="360" spans="1:39">
      <c r="B360" s="256" t="s">
        <v>316</v>
      </c>
    </row>
    <row r="361" spans="1:39">
      <c r="B361" s="256">
        <v>183</v>
      </c>
    </row>
    <row r="362" spans="1:39">
      <c r="B362" s="256" t="s">
        <v>337</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556</v>
      </c>
    </row>
    <row r="404" spans="1:74">
      <c r="B404" s="256" t="s">
        <v>525</v>
      </c>
    </row>
    <row r="405" spans="1:74">
      <c r="B405" s="256" t="s">
        <v>0</v>
      </c>
    </row>
    <row r="406" spans="1:74">
      <c r="B406" s="256" t="s">
        <v>316</v>
      </c>
    </row>
    <row r="407" spans="1:74">
      <c r="B407" s="256">
        <v>188</v>
      </c>
    </row>
    <row r="408" spans="1:74">
      <c r="B408" s="256" t="s">
        <v>338</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557</v>
      </c>
    </row>
    <row r="444" spans="1:74">
      <c r="B444" s="256" t="s">
        <v>525</v>
      </c>
    </row>
    <row r="445" spans="1:74">
      <c r="B445" s="256" t="s">
        <v>0</v>
      </c>
    </row>
    <row r="446" spans="1:74">
      <c r="B446" s="256" t="s">
        <v>316</v>
      </c>
    </row>
    <row r="447" spans="1:74">
      <c r="B447" s="256">
        <v>310</v>
      </c>
    </row>
    <row r="448" spans="1:74">
      <c r="B448" s="256" t="s">
        <v>339</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558</v>
      </c>
    </row>
    <row r="527" spans="1:38">
      <c r="B527" s="256" t="s">
        <v>525</v>
      </c>
    </row>
    <row r="528" spans="1:38">
      <c r="B528" s="256" t="s">
        <v>0</v>
      </c>
    </row>
    <row r="529" spans="1:74">
      <c r="B529" s="256" t="s">
        <v>316</v>
      </c>
    </row>
    <row r="530" spans="1:74">
      <c r="B530" s="256">
        <v>289</v>
      </c>
    </row>
    <row r="531" spans="1:74">
      <c r="B531" s="256" t="s">
        <v>339</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559</v>
      </c>
    </row>
    <row r="567" spans="1:74">
      <c r="B567" s="256" t="s">
        <v>525</v>
      </c>
    </row>
    <row r="568" spans="1:74">
      <c r="B568" s="256" t="s">
        <v>0</v>
      </c>
    </row>
    <row r="569" spans="1:74">
      <c r="B569" s="256" t="s">
        <v>316</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560</v>
      </c>
    </row>
    <row r="601" spans="1:52">
      <c r="B601" s="256" t="s">
        <v>525</v>
      </c>
    </row>
    <row r="602" spans="1:52">
      <c r="B602" s="256" t="s">
        <v>0</v>
      </c>
    </row>
    <row r="603" spans="1:52">
      <c r="B603" s="256" t="s">
        <v>316</v>
      </c>
    </row>
    <row r="604" spans="1:52">
      <c r="B604" s="256">
        <v>297</v>
      </c>
    </row>
    <row r="605" spans="1:52">
      <c r="B605" s="256" t="s">
        <v>116</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561</v>
      </c>
    </row>
    <row r="633" spans="1:39">
      <c r="B633" s="256" t="s">
        <v>525</v>
      </c>
    </row>
    <row r="634" spans="1:39">
      <c r="B634" s="256" t="s">
        <v>0</v>
      </c>
    </row>
    <row r="635" spans="1:39">
      <c r="B635" s="256" t="s">
        <v>316</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562</v>
      </c>
    </row>
    <row r="665" spans="1:39">
      <c r="B665" s="256" t="s">
        <v>525</v>
      </c>
    </row>
    <row r="666" spans="1:39">
      <c r="B666" s="256" t="s">
        <v>0</v>
      </c>
    </row>
    <row r="667" spans="1:39">
      <c r="B667" s="256" t="s">
        <v>316</v>
      </c>
    </row>
    <row r="668" spans="1:39">
      <c r="B668" s="256">
        <v>465</v>
      </c>
    </row>
    <row r="669" spans="1:39">
      <c r="B669" s="256" t="s">
        <v>115</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563</v>
      </c>
    </row>
    <row r="748" spans="1:74">
      <c r="B748" s="256" t="s">
        <v>525</v>
      </c>
    </row>
    <row r="749" spans="1:74">
      <c r="B749" s="256" t="s">
        <v>331</v>
      </c>
    </row>
    <row r="750" spans="1:74">
      <c r="B750" s="256" t="s">
        <v>316</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564</v>
      </c>
    </row>
    <row r="777" spans="1:20">
      <c r="B777" s="256" t="s">
        <v>525</v>
      </c>
    </row>
    <row r="778" spans="1:20">
      <c r="B778" s="256" t="s">
        <v>331</v>
      </c>
    </row>
    <row r="779" spans="1:20">
      <c r="B779" s="256" t="s">
        <v>316</v>
      </c>
    </row>
    <row r="780" spans="1:20">
      <c r="B780" s="256">
        <v>98</v>
      </c>
    </row>
    <row r="781" spans="1:20">
      <c r="B781" s="256" t="s">
        <v>114</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565</v>
      </c>
    </row>
    <row r="817" spans="1:74">
      <c r="B817" s="256" t="s">
        <v>525</v>
      </c>
    </row>
    <row r="818" spans="1:74">
      <c r="B818" s="256" t="s">
        <v>331</v>
      </c>
    </row>
    <row r="819" spans="1:74">
      <c r="B819" s="256" t="s">
        <v>316</v>
      </c>
    </row>
    <row r="820" spans="1:74">
      <c r="B820" s="256">
        <v>154</v>
      </c>
    </row>
    <row r="821" spans="1:74">
      <c r="B821" s="256" t="s">
        <v>336</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566</v>
      </c>
    </row>
    <row r="857" spans="1:74">
      <c r="B857" s="256" t="s">
        <v>525</v>
      </c>
    </row>
    <row r="858" spans="1:74">
      <c r="B858" s="256" t="s">
        <v>331</v>
      </c>
    </row>
    <row r="859" spans="1:74">
      <c r="B859" s="256" t="s">
        <v>316</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567</v>
      </c>
    </row>
    <row r="886" spans="1:38">
      <c r="B886" s="256" t="s">
        <v>525</v>
      </c>
    </row>
    <row r="887" spans="1:38">
      <c r="B887" s="256" t="s">
        <v>331</v>
      </c>
    </row>
    <row r="888" spans="1:38">
      <c r="B888" s="256" t="s">
        <v>316</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568</v>
      </c>
    </row>
    <row r="918" spans="1:38">
      <c r="B918" s="256" t="s">
        <v>525</v>
      </c>
    </row>
    <row r="919" spans="1:38">
      <c r="B919" s="256" t="s">
        <v>331</v>
      </c>
    </row>
    <row r="920" spans="1:38">
      <c r="B920" s="256" t="s">
        <v>316</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569</v>
      </c>
    </row>
    <row r="950" spans="1:38">
      <c r="B950" s="256" t="s">
        <v>525</v>
      </c>
    </row>
    <row r="951" spans="1:38">
      <c r="B951" s="256" t="s">
        <v>331</v>
      </c>
    </row>
    <row r="952" spans="1:38">
      <c r="B952" s="256" t="s">
        <v>316</v>
      </c>
    </row>
    <row r="953" spans="1:38">
      <c r="B953" s="256">
        <v>282</v>
      </c>
    </row>
    <row r="954" spans="1:38">
      <c r="B954" s="256" t="s">
        <v>339</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570</v>
      </c>
    </row>
    <row r="990" spans="1:38">
      <c r="B990" s="256" t="s">
        <v>525</v>
      </c>
    </row>
    <row r="991" spans="1:38">
      <c r="B991" s="256" t="s">
        <v>331</v>
      </c>
    </row>
    <row r="992" spans="1:38">
      <c r="B992" s="256" t="s">
        <v>316</v>
      </c>
    </row>
    <row r="993" spans="1:74">
      <c r="B993" s="256">
        <v>214</v>
      </c>
    </row>
    <row r="994" spans="1:74">
      <c r="B994" s="256" t="s">
        <v>334</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571</v>
      </c>
    </row>
    <row r="1073" spans="1:38">
      <c r="B1073" s="256" t="s">
        <v>525</v>
      </c>
    </row>
    <row r="1074" spans="1:38">
      <c r="B1074" s="256" t="s">
        <v>331</v>
      </c>
    </row>
    <row r="1075" spans="1:38">
      <c r="B1075" s="256" t="s">
        <v>316</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572</v>
      </c>
    </row>
    <row r="1105" spans="1:39">
      <c r="B1105" s="256" t="s">
        <v>525</v>
      </c>
    </row>
    <row r="1106" spans="1:39">
      <c r="B1106" s="256" t="s">
        <v>331</v>
      </c>
    </row>
    <row r="1107" spans="1:39">
      <c r="B1107" s="256" t="s">
        <v>316</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573</v>
      </c>
    </row>
    <row r="1137" spans="1:38">
      <c r="B1137" s="256" t="s">
        <v>525</v>
      </c>
    </row>
    <row r="1138" spans="1:38">
      <c r="B1138" s="256" t="s">
        <v>331</v>
      </c>
    </row>
    <row r="1139" spans="1:38">
      <c r="B1139" s="256" t="s">
        <v>316</v>
      </c>
    </row>
    <row r="1140" spans="1:38">
      <c r="B1140" s="256">
        <v>442</v>
      </c>
    </row>
    <row r="1141" spans="1:38">
      <c r="B1141" s="256" t="s">
        <v>113</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574</v>
      </c>
    </row>
    <row r="1177" spans="1:38">
      <c r="B1177" s="256" t="s">
        <v>525</v>
      </c>
    </row>
    <row r="1178" spans="1:38">
      <c r="B1178" s="256" t="s">
        <v>331</v>
      </c>
    </row>
    <row r="1179" spans="1:38">
      <c r="B1179" s="256" t="s">
        <v>316</v>
      </c>
    </row>
    <row r="1180" spans="1:38">
      <c r="B1180" s="256">
        <v>462</v>
      </c>
    </row>
    <row r="1181" spans="1:38">
      <c r="B1181" s="256" t="s">
        <v>339</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575</v>
      </c>
    </row>
    <row r="1260" spans="1:38">
      <c r="B1260" s="256" t="s">
        <v>525</v>
      </c>
    </row>
    <row r="1261" spans="1:38">
      <c r="B1261" s="256" t="s">
        <v>331</v>
      </c>
    </row>
    <row r="1262" spans="1:38">
      <c r="B1262" s="256" t="s">
        <v>316</v>
      </c>
    </row>
    <row r="1263" spans="1:38">
      <c r="B1263" s="256">
        <v>462</v>
      </c>
    </row>
    <row r="1264" spans="1:38">
      <c r="B1264" s="256" t="s">
        <v>339</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513</v>
      </c>
    </row>
    <row r="1343" spans="1:38">
      <c r="B1343" s="256" t="s">
        <v>525</v>
      </c>
    </row>
    <row r="1344" spans="1:38">
      <c r="B1344" s="256" t="s">
        <v>66</v>
      </c>
    </row>
    <row r="1345" spans="1:38">
      <c r="B1345" s="256" t="s">
        <v>316</v>
      </c>
    </row>
    <row r="1346" spans="1:38">
      <c r="B1346" s="256">
        <v>41</v>
      </c>
    </row>
    <row r="1347" spans="1:38">
      <c r="B1347" s="256" t="s">
        <v>341</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514</v>
      </c>
    </row>
    <row r="1390" spans="1:38">
      <c r="B1390" s="256" t="s">
        <v>525</v>
      </c>
    </row>
    <row r="1391" spans="1:38">
      <c r="B1391" s="256" t="s">
        <v>66</v>
      </c>
    </row>
    <row r="1392" spans="1:38">
      <c r="B1392" s="256" t="s">
        <v>316</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515</v>
      </c>
    </row>
    <row r="1421" spans="1:39">
      <c r="B1421" s="256" t="s">
        <v>525</v>
      </c>
    </row>
    <row r="1422" spans="1:39">
      <c r="B1422" s="256" t="s">
        <v>66</v>
      </c>
    </row>
    <row r="1423" spans="1:39">
      <c r="B1423" s="256" t="s">
        <v>316</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516</v>
      </c>
    </row>
    <row r="1452" spans="1:39">
      <c r="B1452" s="256" t="s">
        <v>525</v>
      </c>
    </row>
    <row r="1453" spans="1:39">
      <c r="B1453" s="256" t="s">
        <v>66</v>
      </c>
    </row>
    <row r="1454" spans="1:39">
      <c r="B1454" s="256" t="s">
        <v>316</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517</v>
      </c>
    </row>
    <row r="1484" spans="1:39">
      <c r="B1484" s="256" t="s">
        <v>525</v>
      </c>
    </row>
    <row r="1485" spans="1:39">
      <c r="B1485" s="256" t="s">
        <v>66</v>
      </c>
    </row>
    <row r="1486" spans="1:39">
      <c r="B1486" s="256" t="s">
        <v>316</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519</v>
      </c>
    </row>
    <row r="1515" spans="1:39">
      <c r="B1515" s="256" t="s">
        <v>525</v>
      </c>
    </row>
    <row r="1516" spans="1:39">
      <c r="B1516" s="256" t="s">
        <v>66</v>
      </c>
    </row>
    <row r="1517" spans="1:39">
      <c r="B1517" s="256" t="s">
        <v>316</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520</v>
      </c>
    </row>
    <row r="1547" spans="1:39">
      <c r="B1547" s="256" t="s">
        <v>525</v>
      </c>
    </row>
    <row r="1548" spans="1:39">
      <c r="B1548" s="256" t="s">
        <v>66</v>
      </c>
    </row>
    <row r="1549" spans="1:39">
      <c r="B1549" s="256" t="s">
        <v>316</v>
      </c>
    </row>
    <row r="1550" spans="1:39">
      <c r="B1550" s="256">
        <v>191</v>
      </c>
    </row>
    <row r="1551" spans="1:39">
      <c r="B1551" s="256" t="s">
        <v>340</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521</v>
      </c>
    </row>
    <row r="1594" spans="1:74">
      <c r="B1594" s="256" t="s">
        <v>525</v>
      </c>
    </row>
    <row r="1595" spans="1:74">
      <c r="B1595" s="256" t="s">
        <v>66</v>
      </c>
    </row>
    <row r="1596" spans="1:74">
      <c r="B1596" s="256" t="s">
        <v>316</v>
      </c>
    </row>
    <row r="1597" spans="1:74">
      <c r="B1597" s="256">
        <v>196</v>
      </c>
    </row>
    <row r="1598" spans="1:74">
      <c r="B1598" s="256" t="s">
        <v>340</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522</v>
      </c>
    </row>
    <row r="1749" spans="1:74">
      <c r="B1749" s="256" t="s">
        <v>525</v>
      </c>
    </row>
    <row r="1750" spans="1:74">
      <c r="B1750" s="256" t="s">
        <v>66</v>
      </c>
    </row>
    <row r="1751" spans="1:74">
      <c r="B1751" s="256" t="s">
        <v>316</v>
      </c>
    </row>
    <row r="1752" spans="1:74">
      <c r="B1752" s="256">
        <v>216</v>
      </c>
    </row>
    <row r="1753" spans="1:74">
      <c r="B1753" s="256" t="s">
        <v>343</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523</v>
      </c>
    </row>
    <row r="1796" spans="1:74">
      <c r="B1796" s="256" t="s">
        <v>525</v>
      </c>
    </row>
    <row r="1797" spans="1:74">
      <c r="B1797" s="256" t="s">
        <v>66</v>
      </c>
    </row>
    <row r="1798" spans="1:74">
      <c r="B1798" s="256" t="s">
        <v>316</v>
      </c>
    </row>
    <row r="1799" spans="1:74">
      <c r="B1799" s="256">
        <v>217</v>
      </c>
    </row>
    <row r="1800" spans="1:74">
      <c r="B1800" s="256" t="s">
        <v>343</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524</v>
      </c>
    </row>
    <row r="1843" spans="1:74">
      <c r="B1843" s="256" t="s">
        <v>525</v>
      </c>
    </row>
    <row r="1844" spans="1:74">
      <c r="B1844" s="256" t="s">
        <v>66</v>
      </c>
    </row>
    <row r="1845" spans="1:74">
      <c r="B1845" s="256" t="s">
        <v>316</v>
      </c>
    </row>
    <row r="1846" spans="1:74">
      <c r="B1846" s="256">
        <v>238</v>
      </c>
    </row>
    <row r="1847" spans="1:74">
      <c r="B1847" s="256" t="s">
        <v>342</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2778</v>
      </c>
    </row>
    <row r="1998" spans="1:74">
      <c r="B1998" s="256" t="s">
        <v>3348</v>
      </c>
    </row>
    <row r="1999" spans="1:74">
      <c r="B1999" s="256" t="s">
        <v>66</v>
      </c>
    </row>
    <row r="2000" spans="1:74">
      <c r="B2000" s="256" t="s">
        <v>3349</v>
      </c>
    </row>
    <row r="2001" spans="1:74">
      <c r="B2001" s="256">
        <v>34</v>
      </c>
    </row>
    <row r="2002" spans="1:74">
      <c r="B2002" s="256" t="s">
        <v>3350</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3343</v>
      </c>
    </row>
    <row r="2045" spans="1:74">
      <c r="B2045" s="256" t="s">
        <v>3348</v>
      </c>
    </row>
    <row r="2046" spans="1:74">
      <c r="B2046" s="256" t="s">
        <v>66</v>
      </c>
    </row>
    <row r="2047" spans="1:74">
      <c r="B2047" s="256" t="s">
        <v>3351</v>
      </c>
    </row>
    <row r="2048" spans="1:74">
      <c r="B2048" s="256">
        <v>48</v>
      </c>
    </row>
    <row r="2049" spans="1:74">
      <c r="B2049" s="256" t="s">
        <v>3352</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3345</v>
      </c>
    </row>
    <row r="2092" spans="1:74">
      <c r="B2092" s="256" t="s">
        <v>3348</v>
      </c>
    </row>
    <row r="2093" spans="1:74">
      <c r="B2093" s="256" t="s">
        <v>66</v>
      </c>
    </row>
    <row r="2094" spans="1:74">
      <c r="B2094" s="256" t="s">
        <v>3353</v>
      </c>
    </row>
    <row r="2095" spans="1:74">
      <c r="B2095" s="256">
        <v>91</v>
      </c>
    </row>
    <row r="2096" spans="1:74">
      <c r="B2096" s="256" t="s">
        <v>3354</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3347</v>
      </c>
    </row>
    <row r="2139" spans="1:74">
      <c r="B2139" s="256" t="s">
        <v>3348</v>
      </c>
    </row>
    <row r="2140" spans="1:74">
      <c r="B2140" s="256" t="s">
        <v>66</v>
      </c>
    </row>
    <row r="2141" spans="1:74">
      <c r="B2141" s="256" t="s">
        <v>3355</v>
      </c>
    </row>
    <row r="2142" spans="1:74">
      <c r="B2142" s="256">
        <v>134</v>
      </c>
    </row>
    <row r="2143" spans="1:74">
      <c r="B2143" s="256" t="s">
        <v>3356</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v1.7.6a</v>
      </c>
    </row>
    <row r="2" spans="1:41" s="370" customFormat="1" ht="31.5">
      <c r="A2" s="368"/>
      <c r="B2" s="369" t="str">
        <f>Translation!B403</f>
        <v>Illuminance Calculations</v>
      </c>
    </row>
    <row r="3" spans="1:41" s="373" customFormat="1" ht="15" customHeight="1">
      <c r="A3" s="371"/>
      <c r="B3" s="372"/>
      <c r="D3" s="374" t="s">
        <v>53</v>
      </c>
    </row>
    <row r="4" spans="1:41" s="377" customFormat="1" ht="15" customHeight="1">
      <c r="A4" s="375"/>
      <c r="B4" s="376" t="str">
        <f>Translation!B268</f>
        <v>Average Illuminance</v>
      </c>
      <c r="C4" s="382">
        <f>AVERAGE(B13:AO512)</f>
        <v>14.031504644948239</v>
      </c>
      <c r="D4" s="383">
        <f>IF(FixtureData!$B$23="IES",'Lighting Standards'!$D$12,'Lighting Standards'!$H$12)</f>
        <v>6</v>
      </c>
    </row>
    <row r="5" spans="1:41" s="377" customFormat="1" ht="15" customHeight="1">
      <c r="A5" s="375"/>
      <c r="B5" s="376" t="str">
        <f>Translation!B269</f>
        <v>Minimum Illuminance</v>
      </c>
      <c r="C5" s="382">
        <f>MIN(B13:AO512)</f>
        <v>6.8053481894493517</v>
      </c>
      <c r="D5" s="383"/>
    </row>
    <row r="6" spans="1:41" s="377" customFormat="1" ht="15" customHeight="1">
      <c r="A6" s="375"/>
      <c r="B6" s="376" t="str">
        <f>Translation!B270</f>
        <v>Maximum Illuminance</v>
      </c>
      <c r="C6" s="382">
        <f>MAX(B13:AO512)</f>
        <v>25.106824551421735</v>
      </c>
      <c r="D6" s="383"/>
    </row>
    <row r="7" spans="1:41">
      <c r="B7" s="376" t="str">
        <f>Translation!B265</f>
        <v>Uniformity Ratio (Iavg/Imin)</v>
      </c>
      <c r="C7" s="382">
        <f>IF(FixtureData!B23="IES",IFERROR(C4/C5,0),IFERROR(C5/C4,0))</f>
        <v>2.0618349354559014</v>
      </c>
      <c r="D7" s="383">
        <f>IF(FixtureData!$B$23="IES",'Lighting Standards'!$D$13,'Lighting Standards'!$H$13)</f>
        <v>6</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3373</v>
      </c>
      <c r="C12" s="434" t="s">
        <v>3374</v>
      </c>
      <c r="D12" s="434" t="s">
        <v>3375</v>
      </c>
      <c r="E12" s="434" t="s">
        <v>3376</v>
      </c>
      <c r="F12" s="434" t="s">
        <v>3377</v>
      </c>
      <c r="G12" s="434" t="s">
        <v>3378</v>
      </c>
      <c r="H12" s="434" t="s">
        <v>3379</v>
      </c>
      <c r="I12" s="434" t="s">
        <v>3380</v>
      </c>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9.7555824359174697</v>
      </c>
      <c r="C13" s="383">
        <v>18.917462238872414</v>
      </c>
      <c r="D13" s="383">
        <v>23.951802325931101</v>
      </c>
      <c r="E13" s="383">
        <v>25.092158028474564</v>
      </c>
      <c r="F13" s="383">
        <v>25.092158028474564</v>
      </c>
      <c r="G13" s="383">
        <v>23.951802325931101</v>
      </c>
      <c r="H13" s="383">
        <v>18.917462238872414</v>
      </c>
      <c r="I13" s="383">
        <v>9.7555824359174697</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8.3677982432719524</v>
      </c>
      <c r="C14" s="383">
        <v>14.579416845274936</v>
      </c>
      <c r="D14" s="383">
        <v>19.31232606241328</v>
      </c>
      <c r="E14" s="383">
        <v>21.602165374367182</v>
      </c>
      <c r="F14" s="383">
        <v>21.602165374367182</v>
      </c>
      <c r="G14" s="383">
        <v>19.31232606241328</v>
      </c>
      <c r="H14" s="383">
        <v>14.579416845274936</v>
      </c>
      <c r="I14" s="383">
        <v>8.3677982432719524</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7.38726688758394</v>
      </c>
      <c r="C15" s="383">
        <v>11.425741800401607</v>
      </c>
      <c r="D15" s="383">
        <v>15.138453665502173</v>
      </c>
      <c r="E15" s="383">
        <v>17.227943235915998</v>
      </c>
      <c r="F15" s="383">
        <v>17.227943235915998</v>
      </c>
      <c r="G15" s="383">
        <v>15.138453665502173</v>
      </c>
      <c r="H15" s="383">
        <v>11.425741800401608</v>
      </c>
      <c r="I15" s="383">
        <v>7.38726688758394</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7.1429591335946219</v>
      </c>
      <c r="C16" s="383">
        <v>10.339938668468756</v>
      </c>
      <c r="D16" s="383">
        <v>13.144822679156372</v>
      </c>
      <c r="E16" s="383">
        <v>14.55267364242129</v>
      </c>
      <c r="F16" s="383">
        <v>14.55267364242129</v>
      </c>
      <c r="G16" s="383">
        <v>13.144822679156372</v>
      </c>
      <c r="H16" s="383">
        <v>10.339938668468756</v>
      </c>
      <c r="I16" s="383">
        <v>7.1429591335946219</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6.8053481894493526</v>
      </c>
      <c r="C17" s="383">
        <v>10.033130301816948</v>
      </c>
      <c r="D17" s="383">
        <v>12.409720230641394</v>
      </c>
      <c r="E17" s="383">
        <v>13.369178132196172</v>
      </c>
      <c r="F17" s="383">
        <v>13.369178132196172</v>
      </c>
      <c r="G17" s="383">
        <v>12.409720230641396</v>
      </c>
      <c r="H17" s="383">
        <v>10.033130301816948</v>
      </c>
      <c r="I17" s="383">
        <v>6.8053481894493517</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6.8067229278041248</v>
      </c>
      <c r="C18" s="383">
        <v>10.034404889252729</v>
      </c>
      <c r="D18" s="383">
        <v>12.410879748230913</v>
      </c>
      <c r="E18" s="383">
        <v>13.370333886328051</v>
      </c>
      <c r="F18" s="383">
        <v>13.370333886328051</v>
      </c>
      <c r="G18" s="383">
        <v>12.410879748230911</v>
      </c>
      <c r="H18" s="383">
        <v>10.034404889252729</v>
      </c>
      <c r="I18" s="383">
        <v>6.8067229278041248</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7.1471631398633564</v>
      </c>
      <c r="C19" s="383">
        <v>10.343836669393792</v>
      </c>
      <c r="D19" s="383">
        <v>13.148362903400901</v>
      </c>
      <c r="E19" s="383">
        <v>14.556202809568225</v>
      </c>
      <c r="F19" s="383">
        <v>14.556202809568225</v>
      </c>
      <c r="G19" s="383">
        <v>13.148362903400901</v>
      </c>
      <c r="H19" s="383">
        <v>10.343836669393792</v>
      </c>
      <c r="I19" s="383">
        <v>7.1471631398633564</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7.3945476268462151</v>
      </c>
      <c r="C20" s="383">
        <v>11.432493529280688</v>
      </c>
      <c r="D20" s="383">
        <v>15.144565421117839</v>
      </c>
      <c r="E20" s="383">
        <v>17.234037411407922</v>
      </c>
      <c r="F20" s="383">
        <v>17.234037411407922</v>
      </c>
      <c r="G20" s="383">
        <v>15.144565421117838</v>
      </c>
      <c r="H20" s="383">
        <v>11.432493529280688</v>
      </c>
      <c r="I20" s="383">
        <v>7.3945476268462151</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8.378657657646448</v>
      </c>
      <c r="C21" s="383">
        <v>14.589579590549878</v>
      </c>
      <c r="D21" s="383">
        <v>19.321584305155422</v>
      </c>
      <c r="E21" s="383">
        <v>21.611443975951566</v>
      </c>
      <c r="F21" s="383">
        <v>21.611443975951566</v>
      </c>
      <c r="G21" s="383">
        <v>19.321584305155422</v>
      </c>
      <c r="H21" s="383">
        <v>14.589579590549878</v>
      </c>
      <c r="I21" s="383">
        <v>8.3786576576464498</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9.7726172411908774</v>
      </c>
      <c r="C22" s="383">
        <v>18.933485367948546</v>
      </c>
      <c r="D22" s="383">
        <v>23.966554023898684</v>
      </c>
      <c r="E22" s="383">
        <v>25.106824551421735</v>
      </c>
      <c r="F22" s="383">
        <v>25.106824551421735</v>
      </c>
      <c r="G22" s="383">
        <v>23.966554023898681</v>
      </c>
      <c r="H22" s="383">
        <v>18.933485367948546</v>
      </c>
      <c r="I22" s="383">
        <v>9.7726172411908774</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v1.7.6a</v>
      </c>
    </row>
    <row r="2" spans="1:70" s="370" customFormat="1" ht="31.5">
      <c r="A2" s="368"/>
      <c r="B2" s="369" t="str">
        <f>Translation!B404</f>
        <v>Luminance Calculations</v>
      </c>
    </row>
    <row r="3" spans="1:70" s="373" customFormat="1" ht="15" customHeight="1">
      <c r="A3" s="371"/>
      <c r="B3" s="372"/>
      <c r="D3" s="374" t="s">
        <v>53</v>
      </c>
    </row>
    <row r="4" spans="1:70" s="377" customFormat="1" ht="15" customHeight="1">
      <c r="A4" s="375"/>
      <c r="B4" s="376" t="str">
        <f>Translation!B271</f>
        <v>Average Luminance</v>
      </c>
      <c r="C4" s="382">
        <f>IF(FixtureData!$B$23="CIE",MIN('Luminance Calcs CIE'!A:A),AVERAGE(B13:AO512))</f>
        <v>1.1423931386714454</v>
      </c>
      <c r="D4" s="383">
        <f>IF(FixtureData!$B$23="IES",'Lighting Standards'!$D$19,'Lighting Standards'!$H$19)</f>
        <v>0.6</v>
      </c>
    </row>
    <row r="5" spans="1:70" s="377" customFormat="1" ht="15" customHeight="1">
      <c r="A5" s="375"/>
      <c r="B5" s="376" t="str">
        <f>Translation!B272</f>
        <v>Minimum Luminance</v>
      </c>
      <c r="C5" s="382">
        <f>IF(FixtureData!$B$23="CIE",MIN('Luminance Calcs CIE'!B:B),MIN(B13:AO512))</f>
        <v>0.46857753254908935</v>
      </c>
      <c r="D5" s="383"/>
    </row>
    <row r="6" spans="1:70" s="377" customFormat="1" ht="15" customHeight="1">
      <c r="A6" s="375"/>
      <c r="B6" s="376" t="str">
        <f>Translation!B273</f>
        <v>Maximum Luminance</v>
      </c>
      <c r="C6" s="382">
        <f>IF(FixtureData!$B$23="CIE",MIN('Luminance Calcs CIE'!C:C),MAX(B13:AO512))</f>
        <v>1.7662242648823605</v>
      </c>
      <c r="D6" s="383"/>
    </row>
    <row r="7" spans="1:70" ht="30">
      <c r="B7" s="436" t="str">
        <f>Translation!B267</f>
        <v>Uniformity Ratio (IES - lavg/lmin; CIE - lmin/lavg)</v>
      </c>
      <c r="C7" s="382">
        <f>IFERROR(IF(FixtureData!$B$23="CIE",MIN('Luminance Calcs CIE'!D:D),C4/C5),0)</f>
        <v>2.4380023780840698</v>
      </c>
      <c r="D7" s="383">
        <f>IF(FixtureData!$B$23="IES",'Lighting Standards'!$D$20,'Lighting Standards'!$H$20)</f>
        <v>3</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3.7693319508385232</v>
      </c>
      <c r="D8" s="383">
        <f>IF(FixtureData!$B$23="IES",'Lighting Standards'!$D$21,'Lighting Standards'!$H$21)</f>
        <v>6</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t="s">
        <v>3373</v>
      </c>
      <c r="C12" s="429" t="s">
        <v>3374</v>
      </c>
      <c r="D12" s="429" t="s">
        <v>3375</v>
      </c>
      <c r="E12" s="430" t="s">
        <v>3376</v>
      </c>
      <c r="F12" s="429" t="s">
        <v>3377</v>
      </c>
      <c r="G12" s="430" t="s">
        <v>3378</v>
      </c>
      <c r="H12" s="429" t="s">
        <v>3379</v>
      </c>
      <c r="I12" s="430" t="s">
        <v>3380</v>
      </c>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v>0.520677230659635</v>
      </c>
      <c r="C13" s="383">
        <v>0.99989958032718229</v>
      </c>
      <c r="D13" s="383">
        <v>1.5549730081070812</v>
      </c>
      <c r="E13" s="383">
        <v>1.7399303150644096</v>
      </c>
      <c r="F13" s="383">
        <v>1.7399303150644096</v>
      </c>
      <c r="G13" s="383">
        <v>1.5549730081070812</v>
      </c>
      <c r="H13" s="383">
        <v>0.99989958032718229</v>
      </c>
      <c r="I13" s="383">
        <v>0.52067723065963512</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v>0.51052959924574326</v>
      </c>
      <c r="C14" s="383">
        <v>0.93912353717899144</v>
      </c>
      <c r="D14" s="383">
        <v>1.5472452901350022</v>
      </c>
      <c r="E14" s="383">
        <v>1.7662242648823605</v>
      </c>
      <c r="F14" s="383">
        <v>1.7662242648823603</v>
      </c>
      <c r="G14" s="383">
        <v>1.5472452901350024</v>
      </c>
      <c r="H14" s="383">
        <v>0.93912353717899144</v>
      </c>
      <c r="I14" s="383">
        <v>0.51052959924574326</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v>0.51869505848500508</v>
      </c>
      <c r="C15" s="383">
        <v>0.93826813077764815</v>
      </c>
      <c r="D15" s="383">
        <v>1.5277852141360617</v>
      </c>
      <c r="E15" s="383">
        <v>1.7444876310478057</v>
      </c>
      <c r="F15" s="383">
        <v>1.7444876310478057</v>
      </c>
      <c r="G15" s="383">
        <v>1.5277852141360617</v>
      </c>
      <c r="H15" s="383">
        <v>0.93826813077764815</v>
      </c>
      <c r="I15" s="383">
        <v>0.51869505848500497</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v>0.55037770747900416</v>
      </c>
      <c r="C16" s="383">
        <v>0.96866327768278038</v>
      </c>
      <c r="D16" s="383">
        <v>1.5336123661818515</v>
      </c>
      <c r="E16" s="383">
        <v>1.7429467226828723</v>
      </c>
      <c r="F16" s="383">
        <v>1.7429467226828725</v>
      </c>
      <c r="G16" s="383">
        <v>1.5336123661818515</v>
      </c>
      <c r="H16" s="383">
        <v>0.96866327768278038</v>
      </c>
      <c r="I16" s="383">
        <v>0.55037770747900416</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v>0.52338183460403986</v>
      </c>
      <c r="C17" s="383">
        <v>0.95907815341020164</v>
      </c>
      <c r="D17" s="383">
        <v>1.3679539968328782</v>
      </c>
      <c r="E17" s="383">
        <v>1.7017431510586687</v>
      </c>
      <c r="F17" s="383">
        <v>1.7017431510586689</v>
      </c>
      <c r="G17" s="383">
        <v>1.3679539968328782</v>
      </c>
      <c r="H17" s="383">
        <v>0.95907815341020164</v>
      </c>
      <c r="I17" s="383">
        <v>0.52338183460403986</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v>0.51515018177743577</v>
      </c>
      <c r="C18" s="383">
        <v>0.94437526549268258</v>
      </c>
      <c r="D18" s="383">
        <v>1.1648684601837143</v>
      </c>
      <c r="E18" s="383">
        <v>1.6886299139251983</v>
      </c>
      <c r="F18" s="383">
        <v>1.6886299139251983</v>
      </c>
      <c r="G18" s="383">
        <v>1.1648684601837145</v>
      </c>
      <c r="H18" s="383">
        <v>0.94437526549268258</v>
      </c>
      <c r="I18" s="383">
        <v>0.51515018177743577</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v>0.50387221434017315</v>
      </c>
      <c r="C19" s="383">
        <v>0.89065699597037051</v>
      </c>
      <c r="D19" s="383">
        <v>1.4012727960523603</v>
      </c>
      <c r="E19" s="383">
        <v>1.6208502608413138</v>
      </c>
      <c r="F19" s="383">
        <v>1.6208502608413138</v>
      </c>
      <c r="G19" s="383">
        <v>1.4012727960523603</v>
      </c>
      <c r="H19" s="383">
        <v>0.89065699597037062</v>
      </c>
      <c r="I19" s="383">
        <v>0.50387221434017315</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v>0.46857753254908935</v>
      </c>
      <c r="C20" s="383">
        <v>0.83632773316047804</v>
      </c>
      <c r="D20" s="383">
        <v>1.3475438411890845</v>
      </c>
      <c r="E20" s="383">
        <v>1.5862506876287328</v>
      </c>
      <c r="F20" s="383">
        <v>1.5862506876287328</v>
      </c>
      <c r="G20" s="383">
        <v>1.3475438411890845</v>
      </c>
      <c r="H20" s="383">
        <v>0.83632773316047804</v>
      </c>
      <c r="I20" s="383">
        <v>0.46857753254908935</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v>0.47474102611326036</v>
      </c>
      <c r="C21" s="383">
        <v>0.89948741264877785</v>
      </c>
      <c r="D21" s="383">
        <v>1.3943176423209018</v>
      </c>
      <c r="E21" s="383">
        <v>1.6104687910135831</v>
      </c>
      <c r="F21" s="383">
        <v>1.6104687910135831</v>
      </c>
      <c r="G21" s="383">
        <v>1.3943176423209018</v>
      </c>
      <c r="H21" s="383">
        <v>0.89948741264877785</v>
      </c>
      <c r="I21" s="383">
        <v>0.47474102611326041</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v>0.51143466954543115</v>
      </c>
      <c r="C22" s="383">
        <v>0.98573474425806795</v>
      </c>
      <c r="D22" s="383">
        <v>1.5155802112111585</v>
      </c>
      <c r="E22" s="383">
        <v>1.6799890966567639</v>
      </c>
      <c r="F22" s="383">
        <v>1.6799890966567639</v>
      </c>
      <c r="G22" s="383">
        <v>1.5155802112111585</v>
      </c>
      <c r="H22" s="383">
        <v>0.98573474425806795</v>
      </c>
      <c r="I22" s="383">
        <v>0.51143466954543115</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G13"/>
  <sheetViews>
    <sheetView workbookViewId="0">
      <selection activeCell="G22" sqref="G22"/>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7" s="389" customFormat="1" ht="31.5" customHeight="1">
      <c r="A1" s="435" t="str">
        <f>Translation!B407</f>
        <v>Average</v>
      </c>
      <c r="B1" s="435" t="str">
        <f>Translation!B408</f>
        <v>Minimum</v>
      </c>
      <c r="C1" s="435" t="str">
        <f>Translation!B409</f>
        <v>Maximum</v>
      </c>
      <c r="D1" s="435" t="str">
        <f>Translation!B410</f>
        <v>Minimum/Average</v>
      </c>
      <c r="E1" s="435" t="str">
        <f>Translation!B411</f>
        <v>Maximum/Minimum</v>
      </c>
      <c r="F1" s="388"/>
    </row>
    <row r="6" spans="1:7" ht="15.75">
      <c r="G6" s="517" t="str">
        <f>Translation!B504</f>
        <v>Each set of values below  represent luminace as observed from different observer positions. Observers are assumed to be in the middle of each lane.</v>
      </c>
    </row>
    <row r="12" spans="1:7" s="431" customFormat="1" ht="15.75">
      <c r="F12" s="432"/>
    </row>
    <row r="13" spans="1:7" ht="15.75" customHeight="1"/>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78</v>
      </c>
    </row>
    <row r="7" spans="1:5">
      <c r="A7" t="str">
        <f>Translation!B23</f>
        <v>Road Geometry</v>
      </c>
      <c r="B7">
        <v>4</v>
      </c>
      <c r="C7">
        <v>10</v>
      </c>
      <c r="D7" t="s">
        <v>78</v>
      </c>
    </row>
    <row r="8" spans="1:5">
      <c r="A8" t="str">
        <f>Translation!B23</f>
        <v>Road Geometry</v>
      </c>
      <c r="B8">
        <v>3</v>
      </c>
      <c r="C8">
        <v>11</v>
      </c>
      <c r="D8" t="s">
        <v>79</v>
      </c>
    </row>
    <row r="9" spans="1:5">
      <c r="A9" t="str">
        <f>Translation!B23</f>
        <v>Road Geometry</v>
      </c>
      <c r="B9">
        <v>4</v>
      </c>
      <c r="C9">
        <v>11</v>
      </c>
      <c r="D9" t="s">
        <v>79</v>
      </c>
    </row>
    <row r="10" spans="1:5">
      <c r="A10" t="str">
        <f>Translation!B23</f>
        <v>Road Geometry</v>
      </c>
      <c r="B10">
        <v>3</v>
      </c>
      <c r="C10">
        <v>12</v>
      </c>
      <c r="D10" t="s">
        <v>80</v>
      </c>
    </row>
    <row r="11" spans="1:5">
      <c r="A11" t="str">
        <f>Translation!B23</f>
        <v>Road Geometry</v>
      </c>
      <c r="B11">
        <v>4</v>
      </c>
      <c r="C11">
        <v>12</v>
      </c>
      <c r="D11" t="s">
        <v>80</v>
      </c>
    </row>
    <row r="12" spans="1:5">
      <c r="A12" t="str">
        <f>Translation!B23</f>
        <v>Road Geometry</v>
      </c>
      <c r="B12">
        <v>3</v>
      </c>
      <c r="C12">
        <v>13</v>
      </c>
      <c r="D12" t="s">
        <v>81</v>
      </c>
    </row>
    <row r="13" spans="1:5">
      <c r="A13" t="str">
        <f>Translation!B23</f>
        <v>Road Geometry</v>
      </c>
      <c r="B13">
        <v>4</v>
      </c>
      <c r="C13">
        <v>13</v>
      </c>
      <c r="D13" t="s">
        <v>81</v>
      </c>
    </row>
    <row r="14" spans="1:5">
      <c r="A14" t="str">
        <f>Translation!B23</f>
        <v>Road Geometry</v>
      </c>
      <c r="B14">
        <v>3</v>
      </c>
      <c r="C14">
        <v>16</v>
      </c>
      <c r="D14" t="s">
        <v>77</v>
      </c>
    </row>
    <row r="15" spans="1:5">
      <c r="A15" t="str">
        <f>Translation!B23</f>
        <v>Road Geometry</v>
      </c>
      <c r="B15">
        <v>4</v>
      </c>
      <c r="C15">
        <v>16</v>
      </c>
      <c r="D15" t="s">
        <v>77</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74</v>
      </c>
    </row>
    <row r="19" spans="1:4">
      <c r="A19" t="str">
        <f>Translation!B23</f>
        <v>Road Geometry</v>
      </c>
      <c r="B19">
        <v>4</v>
      </c>
      <c r="C19">
        <v>18</v>
      </c>
      <c r="D19" t="s">
        <v>74</v>
      </c>
    </row>
    <row r="20" spans="1:4">
      <c r="A20" t="str">
        <f>Translation!B23</f>
        <v>Road Geometry</v>
      </c>
      <c r="B20">
        <v>3</v>
      </c>
      <c r="C20">
        <v>19</v>
      </c>
      <c r="D20" t="s">
        <v>75</v>
      </c>
    </row>
    <row r="21" spans="1:4">
      <c r="A21" t="str">
        <f>Translation!B23</f>
        <v>Road Geometry</v>
      </c>
      <c r="B21">
        <v>4</v>
      </c>
      <c r="C21">
        <v>19</v>
      </c>
      <c r="D21" t="s">
        <v>75</v>
      </c>
    </row>
    <row r="22" spans="1:4">
      <c r="A22" t="str">
        <f>Translation!B23</f>
        <v>Road Geometry</v>
      </c>
      <c r="B22">
        <v>3</v>
      </c>
      <c r="C22">
        <v>20</v>
      </c>
      <c r="D22" t="s">
        <v>76</v>
      </c>
    </row>
    <row r="23" spans="1:4">
      <c r="A23" t="str">
        <f>Translation!B23</f>
        <v>Road Geometry</v>
      </c>
      <c r="B23">
        <v>4</v>
      </c>
      <c r="C23">
        <v>20</v>
      </c>
      <c r="D23" t="s">
        <v>76</v>
      </c>
    </row>
    <row r="24" spans="1:4">
      <c r="A24" t="str">
        <f>Translation!B23</f>
        <v>Road Geometry</v>
      </c>
      <c r="B24">
        <v>3</v>
      </c>
      <c r="C24">
        <v>22</v>
      </c>
      <c r="D24" t="s">
        <v>73</v>
      </c>
    </row>
    <row r="25" spans="1:4">
      <c r="A25" t="str">
        <f>Translation!B23</f>
        <v>Road Geometry</v>
      </c>
      <c r="B25">
        <v>4</v>
      </c>
      <c r="C25">
        <v>22</v>
      </c>
      <c r="D25" t="s">
        <v>73</v>
      </c>
    </row>
    <row r="26" spans="1:4">
      <c r="A26" s="14" t="s">
        <v>30</v>
      </c>
      <c r="B26" s="4"/>
      <c r="C26" s="4"/>
      <c r="D26" s="5"/>
    </row>
    <row r="27" spans="1:4">
      <c r="A27" s="14" t="s">
        <v>104</v>
      </c>
      <c r="B27" s="4"/>
      <c r="C27" s="4"/>
      <c r="D27" s="5"/>
    </row>
    <row r="28" spans="1:4">
      <c r="A28" t="str">
        <f>Translation!B103</f>
        <v>Inputs</v>
      </c>
      <c r="B28">
        <v>4</v>
      </c>
      <c r="C28">
        <v>90</v>
      </c>
      <c r="D28" t="s">
        <v>108</v>
      </c>
    </row>
    <row r="29" spans="1:4">
      <c r="A29" t="str">
        <f>Translation!B103</f>
        <v>Inputs</v>
      </c>
      <c r="B29">
        <v>4</v>
      </c>
      <c r="C29">
        <v>91</v>
      </c>
      <c r="D29" t="s">
        <v>109</v>
      </c>
    </row>
    <row r="30" spans="1:4">
      <c r="A30" t="str">
        <f>Translation!B103</f>
        <v>Inputs</v>
      </c>
      <c r="B30">
        <v>4</v>
      </c>
      <c r="C30">
        <v>92</v>
      </c>
      <c r="D30" t="s">
        <v>110</v>
      </c>
    </row>
    <row r="31" spans="1:4">
      <c r="A31" t="str">
        <f>Translation!B103</f>
        <v>Inputs</v>
      </c>
      <c r="B31">
        <v>4</v>
      </c>
      <c r="C31">
        <v>94</v>
      </c>
      <c r="D31" t="s">
        <v>107</v>
      </c>
    </row>
    <row r="32" spans="1:4">
      <c r="A32" t="str">
        <f>Translation!B103</f>
        <v>Inputs</v>
      </c>
      <c r="B32">
        <v>4</v>
      </c>
      <c r="C32">
        <v>95</v>
      </c>
      <c r="D32" t="s">
        <v>111</v>
      </c>
    </row>
    <row r="33" spans="1:4">
      <c r="A33" t="str">
        <f>Translation!B103</f>
        <v>Inputs</v>
      </c>
      <c r="B33">
        <v>4</v>
      </c>
      <c r="C33">
        <v>96</v>
      </c>
      <c r="D33" t="s">
        <v>112</v>
      </c>
    </row>
    <row r="34" spans="1:4">
      <c r="A34" t="str">
        <f>Translation!B103</f>
        <v>Inputs</v>
      </c>
      <c r="B34">
        <v>7</v>
      </c>
      <c r="C34">
        <v>90</v>
      </c>
      <c r="D34" t="s">
        <v>108</v>
      </c>
    </row>
    <row r="35" spans="1:4">
      <c r="A35" t="str">
        <f>Translation!B103</f>
        <v>Inputs</v>
      </c>
      <c r="B35">
        <v>7</v>
      </c>
      <c r="C35">
        <v>91</v>
      </c>
      <c r="D35" t="s">
        <v>109</v>
      </c>
    </row>
    <row r="36" spans="1:4">
      <c r="A36" t="str">
        <f>Translation!B103</f>
        <v>Inputs</v>
      </c>
      <c r="B36">
        <v>7</v>
      </c>
      <c r="C36">
        <v>92</v>
      </c>
      <c r="D36" t="s">
        <v>110</v>
      </c>
    </row>
    <row r="37" spans="1:4">
      <c r="A37" t="str">
        <f>Translation!B103</f>
        <v>Inputs</v>
      </c>
      <c r="B37">
        <v>7</v>
      </c>
      <c r="C37">
        <v>94</v>
      </c>
      <c r="D37" t="s">
        <v>107</v>
      </c>
    </row>
    <row r="38" spans="1:4">
      <c r="A38" t="str">
        <f>Translation!B103</f>
        <v>Inputs</v>
      </c>
      <c r="B38">
        <v>7</v>
      </c>
      <c r="C38">
        <v>95</v>
      </c>
      <c r="D38" t="s">
        <v>111</v>
      </c>
    </row>
    <row r="39" spans="1:4">
      <c r="A39" t="str">
        <f>Translation!B103</f>
        <v>Inputs</v>
      </c>
      <c r="B39">
        <v>7</v>
      </c>
      <c r="C39">
        <v>96</v>
      </c>
      <c r="D39" t="s">
        <v>112</v>
      </c>
    </row>
    <row r="40" spans="1:4">
      <c r="A40" s="14" t="s">
        <v>105</v>
      </c>
      <c r="B40" s="4"/>
      <c r="C40" s="4"/>
      <c r="D40" s="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194</v>
      </c>
      <c r="E4" s="45"/>
      <c r="F4" s="45"/>
      <c r="G4" s="45"/>
      <c r="H4" s="45"/>
      <c r="I4" s="45"/>
      <c r="J4" s="45"/>
      <c r="K4" s="45"/>
      <c r="L4" s="45"/>
      <c r="M4" s="45"/>
      <c r="N4" s="45"/>
      <c r="O4" s="45"/>
      <c r="P4" s="45"/>
      <c r="Q4" s="45"/>
      <c r="R4" s="45"/>
      <c r="S4" s="45"/>
      <c r="T4" s="45"/>
      <c r="U4" s="45"/>
      <c r="V4" s="45"/>
      <c r="W4" s="46"/>
    </row>
    <row r="5" spans="2:23">
      <c r="B5">
        <v>1</v>
      </c>
      <c r="C5" s="43" t="s">
        <v>195</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205</v>
      </c>
    </row>
    <row r="36" spans="2:23">
      <c r="B36" s="15" t="s">
        <v>201</v>
      </c>
      <c r="C36" s="6"/>
      <c r="D36" s="37" t="s">
        <v>194</v>
      </c>
      <c r="E36" s="38"/>
      <c r="F36" s="38"/>
      <c r="G36" s="38"/>
      <c r="H36" s="38"/>
      <c r="I36" s="38"/>
      <c r="J36" s="38"/>
      <c r="K36" s="38"/>
      <c r="L36" s="38"/>
      <c r="M36" s="38"/>
      <c r="N36" s="38"/>
      <c r="O36" s="38"/>
      <c r="P36" s="38"/>
      <c r="Q36" s="38"/>
      <c r="R36" s="38"/>
      <c r="S36" s="38"/>
      <c r="T36" s="38"/>
      <c r="U36" s="38"/>
      <c r="V36" s="38"/>
      <c r="W36" s="39"/>
    </row>
    <row r="37" spans="2:23">
      <c r="B37" s="6"/>
      <c r="C37" s="12" t="s">
        <v>195</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196</v>
      </c>
      <c r="R58" s="39">
        <v>0.1</v>
      </c>
    </row>
    <row r="59" spans="2:23">
      <c r="B59" s="7"/>
      <c r="C59" s="47">
        <v>8.5</v>
      </c>
      <c r="D59" s="31">
        <v>33</v>
      </c>
      <c r="E59" s="31">
        <v>25</v>
      </c>
      <c r="F59" s="31">
        <v>12</v>
      </c>
      <c r="G59" s="31">
        <v>4.8</v>
      </c>
      <c r="H59" s="31">
        <v>3.6</v>
      </c>
      <c r="I59" s="31">
        <v>3.1</v>
      </c>
      <c r="J59" s="31">
        <v>2.9</v>
      </c>
      <c r="Q59" s="9" t="s">
        <v>197</v>
      </c>
      <c r="R59" s="11">
        <v>0.25</v>
      </c>
    </row>
    <row r="60" spans="2:23">
      <c r="B60" s="7"/>
      <c r="C60" s="47">
        <v>9</v>
      </c>
      <c r="D60" s="31">
        <v>31</v>
      </c>
      <c r="E60" s="31">
        <v>23</v>
      </c>
      <c r="F60" s="31">
        <v>10</v>
      </c>
      <c r="G60" s="31">
        <v>4.0999999999999996</v>
      </c>
      <c r="H60" s="31">
        <v>3.2</v>
      </c>
      <c r="I60" s="31">
        <v>2.8</v>
      </c>
      <c r="Q60" s="10" t="s">
        <v>198</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207</v>
      </c>
      <c r="C68" s="6"/>
      <c r="D68" s="37" t="s">
        <v>194</v>
      </c>
      <c r="E68" s="38"/>
      <c r="F68" s="38"/>
      <c r="G68" s="38"/>
      <c r="H68" s="38"/>
      <c r="I68" s="38"/>
      <c r="J68" s="38"/>
      <c r="K68" s="38"/>
      <c r="L68" s="38"/>
      <c r="M68" s="38"/>
      <c r="N68" s="38"/>
      <c r="O68" s="38"/>
      <c r="P68" s="38"/>
      <c r="Q68" s="38"/>
      <c r="R68" s="38"/>
      <c r="S68" s="38"/>
      <c r="T68" s="38"/>
      <c r="U68" s="38"/>
      <c r="V68" s="38"/>
      <c r="W68" s="39"/>
    </row>
    <row r="69" spans="2:23">
      <c r="B69" s="6"/>
      <c r="C69" s="8" t="s">
        <v>195</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196</v>
      </c>
      <c r="R90" s="39">
        <v>7.0000000000000007E-2</v>
      </c>
    </row>
    <row r="91" spans="2:23">
      <c r="B91" s="7"/>
      <c r="C91" s="47">
        <v>8.5</v>
      </c>
      <c r="D91" s="31">
        <v>58</v>
      </c>
      <c r="E91" s="31">
        <v>28</v>
      </c>
      <c r="F91" s="31">
        <v>8.6999999999999993</v>
      </c>
      <c r="G91" s="31">
        <v>2.9</v>
      </c>
      <c r="H91" s="31">
        <v>1.9</v>
      </c>
      <c r="I91" s="31">
        <v>1.6</v>
      </c>
      <c r="J91" s="31">
        <v>1.5</v>
      </c>
      <c r="Q91" s="9" t="s">
        <v>197</v>
      </c>
      <c r="R91" s="11">
        <v>0.57999999999999996</v>
      </c>
    </row>
    <row r="92" spans="2:23">
      <c r="B92" s="7"/>
      <c r="C92" s="47">
        <v>9</v>
      </c>
      <c r="D92" s="31">
        <v>55</v>
      </c>
      <c r="E92" s="31">
        <v>25</v>
      </c>
      <c r="F92" s="31">
        <v>7.4</v>
      </c>
      <c r="G92" s="31">
        <v>2.5</v>
      </c>
      <c r="H92" s="31">
        <v>1.7</v>
      </c>
      <c r="I92" s="31">
        <v>1.4</v>
      </c>
      <c r="Q92" s="10" t="s">
        <v>198</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205</v>
      </c>
    </row>
    <row r="100" spans="2:23">
      <c r="B100" s="15" t="s">
        <v>208</v>
      </c>
      <c r="C100" s="6"/>
      <c r="D100" s="37" t="s">
        <v>194</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195</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196</v>
      </c>
      <c r="R122" s="39">
        <v>7.0000000000000007E-2</v>
      </c>
    </row>
    <row r="123" spans="2:23">
      <c r="B123" s="7"/>
      <c r="C123" s="47">
        <v>8.5</v>
      </c>
      <c r="D123" s="31">
        <v>78</v>
      </c>
      <c r="E123" s="31">
        <v>42</v>
      </c>
      <c r="F123" s="31">
        <v>15</v>
      </c>
      <c r="G123" s="31">
        <v>5.2</v>
      </c>
      <c r="H123" s="31">
        <v>3.7</v>
      </c>
      <c r="I123" s="31">
        <v>3.1</v>
      </c>
      <c r="J123" s="31">
        <v>2.6</v>
      </c>
      <c r="Q123" s="9" t="s">
        <v>197</v>
      </c>
      <c r="R123" s="11">
        <v>1.1100000000000001</v>
      </c>
    </row>
    <row r="124" spans="2:23">
      <c r="B124" s="7"/>
      <c r="C124" s="47">
        <v>9</v>
      </c>
      <c r="D124" s="31">
        <v>73</v>
      </c>
      <c r="E124" s="31">
        <v>38</v>
      </c>
      <c r="F124" s="31">
        <v>12</v>
      </c>
      <c r="G124" s="31">
        <v>4.3</v>
      </c>
      <c r="H124" s="31">
        <v>3.2</v>
      </c>
      <c r="I124" s="31">
        <v>2.4</v>
      </c>
      <c r="Q124" s="10" t="s">
        <v>198</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205</v>
      </c>
    </row>
    <row r="132" spans="2:23">
      <c r="B132" s="15" t="s">
        <v>206</v>
      </c>
      <c r="C132" s="6"/>
      <c r="D132" s="37" t="s">
        <v>194</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195</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196</v>
      </c>
      <c r="R154" s="39">
        <v>0.08</v>
      </c>
    </row>
    <row r="155" spans="2:23">
      <c r="B155" s="7"/>
      <c r="C155" s="47">
        <v>8.5</v>
      </c>
      <c r="D155" s="31">
        <v>184</v>
      </c>
      <c r="E155" s="31">
        <v>74</v>
      </c>
      <c r="F155" s="31">
        <v>19</v>
      </c>
      <c r="G155" s="31">
        <v>5.3</v>
      </c>
      <c r="H155" s="31">
        <v>3.2</v>
      </c>
      <c r="I155" s="31">
        <v>2.5</v>
      </c>
      <c r="J155" s="18">
        <v>2.1</v>
      </c>
      <c r="Q155" s="9" t="s">
        <v>197</v>
      </c>
      <c r="R155" s="11">
        <v>1.55</v>
      </c>
    </row>
    <row r="156" spans="2:23">
      <c r="B156" s="7"/>
      <c r="C156" s="47">
        <v>9</v>
      </c>
      <c r="D156" s="31">
        <v>174</v>
      </c>
      <c r="E156" s="31">
        <v>66</v>
      </c>
      <c r="F156" s="31">
        <v>16</v>
      </c>
      <c r="G156" s="31">
        <v>4.5999999999999996</v>
      </c>
      <c r="H156" s="31">
        <v>2.8</v>
      </c>
      <c r="I156" s="31">
        <v>2.1</v>
      </c>
      <c r="Q156" s="10" t="s">
        <v>198</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7"/>
  <sheetViews>
    <sheetView topLeftCell="A222" zoomScaleNormal="100" workbookViewId="0">
      <selection activeCell="B243" sqref="B243"/>
    </sheetView>
  </sheetViews>
  <sheetFormatPr defaultRowHeight="15.75" customHeight="1"/>
  <cols>
    <col min="1" max="1" width="14.28515625" style="610" customWidth="1"/>
    <col min="2" max="2" width="19" style="617" customWidth="1"/>
    <col min="3" max="3" width="77.140625" style="615" customWidth="1"/>
    <col min="4" max="4" width="17.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365</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3297</v>
      </c>
    </row>
    <row r="11" spans="1:10" s="619" customFormat="1" ht="15.75" customHeight="1">
      <c r="A11" s="619" t="s">
        <v>364</v>
      </c>
      <c r="B11" s="620" t="str">
        <f>Start!$E$5</f>
        <v>English</v>
      </c>
      <c r="C11" s="621" t="s">
        <v>344</v>
      </c>
      <c r="D11" s="621" t="s">
        <v>1965</v>
      </c>
      <c r="E11" s="621" t="s">
        <v>1966</v>
      </c>
      <c r="F11" s="621" t="s">
        <v>3297</v>
      </c>
      <c r="G11" s="622"/>
      <c r="H11" s="656"/>
      <c r="I11" s="619" t="s">
        <v>2770</v>
      </c>
      <c r="J11" s="619" t="s">
        <v>2771</v>
      </c>
    </row>
    <row r="12" spans="1:10" s="607" customFormat="1" ht="15.75" customHeight="1">
      <c r="B12" s="617" t="str">
        <f t="shared" ref="B12:B75" si="0">INDEX(C12:G12,MATCH($B$11,$C$11:$G$11,0))</f>
        <v>BACKGROUND INFORMATION</v>
      </c>
      <c r="C12" s="601" t="s">
        <v>277</v>
      </c>
      <c r="D12" s="601" t="s">
        <v>597</v>
      </c>
      <c r="E12" s="602" t="s">
        <v>845</v>
      </c>
      <c r="F12" s="661" t="s">
        <v>2796</v>
      </c>
      <c r="G12" s="616"/>
      <c r="H12" s="655" t="s">
        <v>2772</v>
      </c>
      <c r="J12" s="607" t="s">
        <v>2001</v>
      </c>
    </row>
    <row r="13" spans="1:10" s="607" customFormat="1" ht="15.75" customHeight="1">
      <c r="B13" s="617" t="str">
        <f t="shared" si="0"/>
        <v>Before you get started using the tool, there are a few things that are useful to know:</v>
      </c>
      <c r="C13" s="601" t="s">
        <v>244</v>
      </c>
      <c r="D13" s="601" t="s">
        <v>598</v>
      </c>
      <c r="E13" s="602" t="s">
        <v>846</v>
      </c>
      <c r="F13" s="662" t="s">
        <v>2797</v>
      </c>
      <c r="G13" s="616"/>
      <c r="H13" s="655" t="s">
        <v>2772</v>
      </c>
      <c r="J13" s="607" t="s">
        <v>2002</v>
      </c>
    </row>
    <row r="14" spans="1:10" s="607" customFormat="1" ht="15.75" customHeight="1">
      <c r="B14" s="617" t="str">
        <f t="shared" si="0"/>
        <v>Choose an Example:</v>
      </c>
      <c r="C14" s="601" t="s">
        <v>328</v>
      </c>
      <c r="D14" s="601" t="s">
        <v>599</v>
      </c>
      <c r="E14" s="602" t="s">
        <v>847</v>
      </c>
      <c r="F14" s="662" t="s">
        <v>2798</v>
      </c>
      <c r="G14" s="616"/>
      <c r="H14" s="655" t="s">
        <v>2772</v>
      </c>
      <c r="J14" s="607" t="s">
        <v>2003</v>
      </c>
    </row>
    <row r="15" spans="1:10" s="607" customFormat="1" ht="15.75" customHeight="1">
      <c r="B15" s="617" t="str">
        <f t="shared" si="0"/>
        <v>Small Local Road</v>
      </c>
      <c r="C15" s="601" t="s">
        <v>324</v>
      </c>
      <c r="D15" s="601" t="s">
        <v>600</v>
      </c>
      <c r="E15" s="602" t="s">
        <v>848</v>
      </c>
      <c r="F15" s="662" t="s">
        <v>2799</v>
      </c>
      <c r="G15" s="616"/>
      <c r="H15" s="655" t="s">
        <v>2772</v>
      </c>
      <c r="J15" s="607" t="s">
        <v>2004</v>
      </c>
    </row>
    <row r="16" spans="1:10" s="607" customFormat="1" ht="15.75" customHeight="1">
      <c r="B16" s="617" t="str">
        <f t="shared" si="0"/>
        <v>Local / Medium</v>
      </c>
      <c r="C16" s="601" t="s">
        <v>327</v>
      </c>
      <c r="D16" s="601" t="s">
        <v>1896</v>
      </c>
      <c r="E16" s="602" t="s">
        <v>849</v>
      </c>
      <c r="F16" s="662" t="s">
        <v>2800</v>
      </c>
      <c r="G16" s="616"/>
      <c r="H16" s="655" t="s">
        <v>2772</v>
      </c>
      <c r="J16" s="607" t="s">
        <v>2005</v>
      </c>
    </row>
    <row r="17" spans="2:32" s="607" customFormat="1" ht="15.75" customHeight="1">
      <c r="B17" s="617" t="str">
        <f t="shared" si="0"/>
        <v>Collector / Medium</v>
      </c>
      <c r="C17" s="601" t="s">
        <v>371</v>
      </c>
      <c r="D17" s="601" t="s">
        <v>1897</v>
      </c>
      <c r="E17" s="602" t="s">
        <v>850</v>
      </c>
      <c r="F17" s="662" t="s">
        <v>2801</v>
      </c>
      <c r="G17" s="616"/>
      <c r="H17" s="655" t="s">
        <v>2772</v>
      </c>
      <c r="J17" s="607" t="s">
        <v>2006</v>
      </c>
    </row>
    <row r="18" spans="2:32" s="607" customFormat="1" ht="15.75" customHeight="1">
      <c r="B18" s="617" t="str">
        <f t="shared" si="0"/>
        <v>Expressway / High</v>
      </c>
      <c r="C18" s="601" t="s">
        <v>370</v>
      </c>
      <c r="D18" s="601" t="s">
        <v>601</v>
      </c>
      <c r="E18" s="602" t="s">
        <v>851</v>
      </c>
      <c r="F18" s="662" t="s">
        <v>2802</v>
      </c>
      <c r="G18" s="616"/>
      <c r="H18" s="655" t="s">
        <v>2772</v>
      </c>
      <c r="J18" s="607" t="s">
        <v>2007</v>
      </c>
    </row>
    <row r="19" spans="2:32" s="607" customFormat="1" ht="15.75" customHeight="1">
      <c r="B19" s="617" t="str">
        <f t="shared" si="0"/>
        <v>Fixture Placement</v>
      </c>
      <c r="C19" s="601" t="s">
        <v>321</v>
      </c>
      <c r="D19" s="601" t="s">
        <v>602</v>
      </c>
      <c r="E19" s="602" t="s">
        <v>1490</v>
      </c>
      <c r="F19" s="662" t="s">
        <v>2803</v>
      </c>
      <c r="G19" s="616"/>
      <c r="H19" s="655" t="s">
        <v>2772</v>
      </c>
      <c r="J19" s="607" t="s">
        <v>2008</v>
      </c>
    </row>
    <row r="20" spans="2:32" s="607" customFormat="1" ht="15.75" customHeight="1">
      <c r="B20" s="617" t="str">
        <f t="shared" si="0"/>
        <v>Single-side, 1 meter over lane edge</v>
      </c>
      <c r="C20" s="601" t="s">
        <v>368</v>
      </c>
      <c r="D20" s="601" t="s">
        <v>603</v>
      </c>
      <c r="E20" s="602" t="s">
        <v>1491</v>
      </c>
      <c r="F20" s="662" t="s">
        <v>2804</v>
      </c>
      <c r="G20" s="616"/>
      <c r="H20" s="655" t="s">
        <v>2772</v>
      </c>
      <c r="J20" s="607" t="s">
        <v>2009</v>
      </c>
    </row>
    <row r="21" spans="2:32" s="607" customFormat="1" ht="15.75" customHeight="1">
      <c r="B21" s="617" t="str">
        <f t="shared" si="0"/>
        <v>Staggered, 1 meter over lane edge</v>
      </c>
      <c r="C21" s="601" t="s">
        <v>373</v>
      </c>
      <c r="D21" s="601" t="s">
        <v>604</v>
      </c>
      <c r="E21" s="602" t="s">
        <v>1492</v>
      </c>
      <c r="F21" s="662" t="s">
        <v>2805</v>
      </c>
      <c r="G21" s="616"/>
      <c r="H21" s="655" t="s">
        <v>2772</v>
      </c>
      <c r="J21" s="607" t="s">
        <v>2010</v>
      </c>
    </row>
    <row r="22" spans="2:32" s="607" customFormat="1" ht="15.75" customHeight="1">
      <c r="B22" s="617" t="str">
        <f t="shared" si="0"/>
        <v>Full Inputs:</v>
      </c>
      <c r="C22" s="601" t="s">
        <v>326</v>
      </c>
      <c r="D22" s="601" t="s">
        <v>605</v>
      </c>
      <c r="E22" s="602" t="s">
        <v>852</v>
      </c>
      <c r="F22" s="663" t="s">
        <v>2806</v>
      </c>
      <c r="G22" s="616"/>
      <c r="H22" s="655" t="s">
        <v>2772</v>
      </c>
      <c r="J22" s="607" t="s">
        <v>2011</v>
      </c>
    </row>
    <row r="23" spans="2:32" s="607" customFormat="1" ht="15.75" customHeight="1">
      <c r="B23" s="617" t="str">
        <f t="shared" si="0"/>
        <v>Road Geometry</v>
      </c>
      <c r="C23" s="601" t="s">
        <v>14</v>
      </c>
      <c r="D23" s="601" t="s">
        <v>606</v>
      </c>
      <c r="E23" s="602" t="s">
        <v>1493</v>
      </c>
      <c r="F23" s="663" t="s">
        <v>2807</v>
      </c>
      <c r="G23" s="616"/>
      <c r="H23" s="655"/>
      <c r="J23" s="607" t="s">
        <v>2012</v>
      </c>
      <c r="L23" s="607" t="s">
        <v>2013</v>
      </c>
      <c r="M23" s="607" t="s">
        <v>2014</v>
      </c>
      <c r="N23" s="607" t="s">
        <v>2015</v>
      </c>
      <c r="O23" s="607" t="s">
        <v>2016</v>
      </c>
      <c r="P23" s="607" t="s">
        <v>2017</v>
      </c>
      <c r="Q23" s="607" t="s">
        <v>2018</v>
      </c>
      <c r="R23" s="607" t="s">
        <v>2019</v>
      </c>
      <c r="S23" s="607" t="s">
        <v>2020</v>
      </c>
      <c r="T23" s="607" t="s">
        <v>2021</v>
      </c>
      <c r="U23" s="607" t="s">
        <v>2022</v>
      </c>
      <c r="V23" s="607" t="s">
        <v>2023</v>
      </c>
      <c r="W23" s="607" t="s">
        <v>2024</v>
      </c>
      <c r="X23" s="607" t="s">
        <v>2025</v>
      </c>
      <c r="Y23" s="607" t="s">
        <v>2026</v>
      </c>
      <c r="Z23" s="607" t="s">
        <v>2027</v>
      </c>
      <c r="AA23" s="607" t="s">
        <v>2028</v>
      </c>
      <c r="AB23" s="607" t="s">
        <v>2029</v>
      </c>
      <c r="AC23" s="607" t="s">
        <v>2030</v>
      </c>
      <c r="AD23" s="607" t="s">
        <v>2031</v>
      </c>
      <c r="AE23" s="607" t="s">
        <v>2032</v>
      </c>
      <c r="AF23" s="607" t="s">
        <v>2033</v>
      </c>
    </row>
    <row r="24" spans="2:32" s="607" customFormat="1" ht="15.75" customHeight="1">
      <c r="B24" s="617" t="str">
        <f t="shared" si="0"/>
        <v xml:space="preserve">Overall Uniformity (U0 - avg/min) </v>
      </c>
      <c r="C24" s="601" t="s">
        <v>500</v>
      </c>
      <c r="D24" s="601" t="s">
        <v>607</v>
      </c>
      <c r="E24" s="602" t="s">
        <v>853</v>
      </c>
      <c r="F24" s="662" t="s">
        <v>2808</v>
      </c>
      <c r="G24" s="616"/>
      <c r="H24" s="655" t="s">
        <v>2772</v>
      </c>
      <c r="J24" s="607" t="s">
        <v>2034</v>
      </c>
    </row>
    <row r="25" spans="2:32" s="607" customFormat="1" ht="15.75" customHeight="1">
      <c r="B25" s="617" t="str">
        <f t="shared" si="0"/>
        <v>Example 1 - Local Road</v>
      </c>
      <c r="C25" s="601" t="s">
        <v>375</v>
      </c>
      <c r="D25" s="601" t="s">
        <v>608</v>
      </c>
      <c r="E25" s="602" t="s">
        <v>1494</v>
      </c>
      <c r="F25" s="662" t="s">
        <v>2809</v>
      </c>
      <c r="G25" s="616"/>
      <c r="H25" s="655" t="s">
        <v>2772</v>
      </c>
      <c r="J25" s="607" t="s">
        <v>2035</v>
      </c>
    </row>
    <row r="26" spans="2:32" s="607" customFormat="1" ht="15.75" customHeight="1">
      <c r="B26" s="617" t="str">
        <f t="shared" si="0"/>
        <v>Street Type</v>
      </c>
      <c r="C26" s="601" t="s">
        <v>317</v>
      </c>
      <c r="D26" s="601" t="s">
        <v>609</v>
      </c>
      <c r="E26" s="602" t="s">
        <v>854</v>
      </c>
      <c r="F26" s="662" t="s">
        <v>2810</v>
      </c>
      <c r="G26" s="616"/>
      <c r="H26" s="655" t="s">
        <v>2772</v>
      </c>
      <c r="J26" s="607" t="s">
        <v>2036</v>
      </c>
    </row>
    <row r="27" spans="2:32" s="607" customFormat="1" ht="15.75" customHeight="1">
      <c r="B27" s="617" t="str">
        <f t="shared" si="0"/>
        <v>SEAD Street Lighting Tool v1.7.6a</v>
      </c>
      <c r="C27" s="601" t="str">
        <f>"SEAD Street Lighting Tool v"&amp;VersionNumber</f>
        <v>SEAD Street Lighting Tool v1.7.6a</v>
      </c>
      <c r="D27" s="601" t="str">
        <f>"Outil d'évaluation de l'éclairage des rues SEAD v"&amp;VersionNumber</f>
        <v>Outil d'évaluation de l'éclairage des rues SEAD v1.7.6a</v>
      </c>
      <c r="E27" s="601" t="str">
        <f>"Herramienta SEAD para sistemas de Iluminación en vialidades v"&amp;VersionNumber</f>
        <v>Herramienta SEAD para sistemas de Iluminación en vialidades v1.7.6a</v>
      </c>
      <c r="F27" s="662" t="str">
        <f>"SEAD Инструмент оценки уличного освещения v"&amp;VersionNumber</f>
        <v>SEAD Инструмент оценки уличного освещения v1.7.6a</v>
      </c>
      <c r="G27" s="616"/>
      <c r="H27" s="655"/>
      <c r="J27" s="607" t="s">
        <v>2037</v>
      </c>
      <c r="L27" s="607" t="s">
        <v>2038</v>
      </c>
      <c r="M27" s="607" t="s">
        <v>2039</v>
      </c>
    </row>
    <row r="28" spans="2:32" s="607" customFormat="1" ht="15.75" customHeight="1">
      <c r="B28" s="617" t="str">
        <f t="shared" si="0"/>
        <v>Single Fixture</v>
      </c>
      <c r="C28" s="601" t="s">
        <v>263</v>
      </c>
      <c r="D28" s="601" t="s">
        <v>610</v>
      </c>
      <c r="E28" s="601" t="s">
        <v>1495</v>
      </c>
      <c r="F28" s="662" t="s">
        <v>2811</v>
      </c>
      <c r="G28" s="616"/>
      <c r="H28" s="655" t="s">
        <v>2772</v>
      </c>
      <c r="J28" s="607" t="s">
        <v>2040</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260</v>
      </c>
      <c r="D29" s="601" t="s">
        <v>1898</v>
      </c>
      <c r="E29" s="602" t="s">
        <v>1496</v>
      </c>
      <c r="F29" s="662" t="s">
        <v>2812</v>
      </c>
      <c r="G29" s="616"/>
      <c r="H29" s="655" t="s">
        <v>2772</v>
      </c>
      <c r="J29" s="607" t="s">
        <v>2041</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286</v>
      </c>
      <c r="D30" s="601" t="s">
        <v>1899</v>
      </c>
      <c r="E30" s="608" t="s">
        <v>1497</v>
      </c>
      <c r="F30" s="662" t="s">
        <v>2813</v>
      </c>
      <c r="G30" s="616"/>
      <c r="H30" s="655" t="s">
        <v>2772</v>
      </c>
      <c r="J30" s="607" t="s">
        <v>2042</v>
      </c>
    </row>
    <row r="31" spans="2:32" s="607" customFormat="1" ht="15.75" customHeight="1">
      <c r="B31" s="617" t="str">
        <f t="shared" si="0"/>
        <v>- The tool is designed to be simple to use, requiring little prior knowledge. Follow the steps, and look out for popup boxes and "?" links for additional information</v>
      </c>
      <c r="C31" s="601" t="s">
        <v>250</v>
      </c>
      <c r="D31" s="601" t="s">
        <v>611</v>
      </c>
      <c r="E31" s="602" t="s">
        <v>855</v>
      </c>
      <c r="F31" s="662" t="s">
        <v>2814</v>
      </c>
      <c r="G31" s="616"/>
      <c r="H31" s="655" t="s">
        <v>2772</v>
      </c>
      <c r="J31" s="607" t="s">
        <v>2043</v>
      </c>
    </row>
    <row r="32" spans="2:32" s="607" customFormat="1" ht="15.75" customHeight="1">
      <c r="B32" s="617" t="str">
        <f t="shared" si="0"/>
        <v xml:space="preserve"> 'Windows button' -&gt; Excel Options -&gt; Trust Center -&gt; Trust Center Settings</v>
      </c>
      <c r="C32" s="601" t="s">
        <v>252</v>
      </c>
      <c r="D32" s="601" t="s">
        <v>844</v>
      </c>
      <c r="E32" s="602" t="s">
        <v>856</v>
      </c>
      <c r="F32" s="664" t="s">
        <v>2815</v>
      </c>
      <c r="G32" s="616"/>
      <c r="H32" s="655" t="s">
        <v>2772</v>
      </c>
      <c r="J32" s="607" t="s">
        <v>2044</v>
      </c>
    </row>
    <row r="33" spans="2:10" s="607" customFormat="1" ht="15.75" customHeight="1">
      <c r="B33" s="617" t="str">
        <f t="shared" si="0"/>
        <v>2-lane road, single-side</v>
      </c>
      <c r="C33" s="601" t="s">
        <v>271</v>
      </c>
      <c r="D33" s="601" t="s">
        <v>612</v>
      </c>
      <c r="E33" s="602" t="s">
        <v>1498</v>
      </c>
      <c r="F33" s="662" t="s">
        <v>2816</v>
      </c>
      <c r="G33" s="616"/>
      <c r="H33" s="655" t="s">
        <v>2772</v>
      </c>
      <c r="J33" s="607" t="s">
        <v>2045</v>
      </c>
    </row>
    <row r="34" spans="2:10" s="607" customFormat="1" ht="15.75" customHeight="1">
      <c r="B34" s="617" t="str">
        <f t="shared" si="0"/>
        <v>4-lane road, staggered</v>
      </c>
      <c r="C34" s="601" t="s">
        <v>272</v>
      </c>
      <c r="D34" s="601" t="s">
        <v>1900</v>
      </c>
      <c r="E34" s="602" t="s">
        <v>1499</v>
      </c>
      <c r="F34" s="662" t="s">
        <v>2817</v>
      </c>
      <c r="G34" s="616"/>
      <c r="H34" s="655" t="s">
        <v>2772</v>
      </c>
      <c r="J34" s="607" t="s">
        <v>2046</v>
      </c>
    </row>
    <row r="35" spans="2:10" s="607" customFormat="1" ht="15.75" customHeight="1">
      <c r="B35" s="617" t="str">
        <f t="shared" si="0"/>
        <v>6-lane road, median mounted</v>
      </c>
      <c r="C35" s="601" t="s">
        <v>273</v>
      </c>
      <c r="D35" s="601" t="s">
        <v>613</v>
      </c>
      <c r="E35" s="602" t="s">
        <v>1500</v>
      </c>
      <c r="F35" s="662" t="s">
        <v>2818</v>
      </c>
      <c r="G35" s="616"/>
      <c r="H35" s="655" t="s">
        <v>2772</v>
      </c>
      <c r="J35" s="607" t="s">
        <v>2047</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222</v>
      </c>
      <c r="D36" s="601" t="s">
        <v>614</v>
      </c>
      <c r="E36" s="602" t="s">
        <v>1501</v>
      </c>
      <c r="F36" s="662" t="s">
        <v>2819</v>
      </c>
      <c r="G36" s="616"/>
      <c r="H36" s="655" t="s">
        <v>2772</v>
      </c>
      <c r="J36" s="607" t="s">
        <v>2048</v>
      </c>
    </row>
    <row r="37" spans="2:10" s="607" customFormat="1" ht="15.75" customHeight="1">
      <c r="B37" s="617" t="str">
        <f t="shared" si="0"/>
        <v xml:space="preserve">All results will be archived to the MResults tab, and show up in MGraphs.  </v>
      </c>
      <c r="C37" s="601" t="s">
        <v>235</v>
      </c>
      <c r="D37" s="601" t="s">
        <v>1901</v>
      </c>
      <c r="E37" s="602" t="s">
        <v>1502</v>
      </c>
      <c r="F37" s="662" t="s">
        <v>2820</v>
      </c>
      <c r="G37" s="616"/>
      <c r="H37" s="655" t="s">
        <v>2772</v>
      </c>
      <c r="J37" s="607" t="s">
        <v>2049</v>
      </c>
    </row>
    <row r="38" spans="2:10" s="607" customFormat="1" ht="15.75" customHeight="1">
      <c r="B38" s="617" t="str">
        <f t="shared" si="0"/>
        <v>Before you start</v>
      </c>
      <c r="C38" s="601" t="s">
        <v>243</v>
      </c>
      <c r="D38" s="601" t="s">
        <v>1006</v>
      </c>
      <c r="E38" s="602" t="s">
        <v>1503</v>
      </c>
      <c r="F38" s="662" t="s">
        <v>2821</v>
      </c>
      <c r="G38" s="616"/>
      <c r="H38" s="655" t="s">
        <v>2772</v>
      </c>
      <c r="J38" s="607" t="s">
        <v>2050</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236</v>
      </c>
      <c r="D39" s="601" t="s">
        <v>1902</v>
      </c>
      <c r="E39" s="602" t="s">
        <v>1903</v>
      </c>
      <c r="F39" s="662" t="s">
        <v>2822</v>
      </c>
      <c r="G39" s="616"/>
      <c r="H39" s="655" t="s">
        <v>2772</v>
      </c>
      <c r="J39" s="607" t="s">
        <v>2051</v>
      </c>
    </row>
    <row r="40" spans="2:10" s="607" customFormat="1" ht="15.75" customHeight="1">
      <c r="B40" s="617" t="str">
        <f t="shared" si="0"/>
        <v>Click 'Macro Settings' and 'Enable all macros'</v>
      </c>
      <c r="C40" s="601" t="s">
        <v>253</v>
      </c>
      <c r="D40" s="601" t="s">
        <v>1005</v>
      </c>
      <c r="E40" s="602" t="s">
        <v>857</v>
      </c>
      <c r="F40" s="662" t="s">
        <v>2823</v>
      </c>
      <c r="G40" s="616"/>
      <c r="H40" s="655" t="s">
        <v>2772</v>
      </c>
      <c r="J40" s="607" t="s">
        <v>2052</v>
      </c>
    </row>
    <row r="41" spans="2:10" s="607" customFormat="1" ht="15.75" customHeight="1">
      <c r="B41" s="617" t="str">
        <f t="shared" si="0"/>
        <v xml:space="preserve">Contact the manufacturer or visit their website to download the electronic IES files for the fixtures you're considering </v>
      </c>
      <c r="C41" s="601" t="s">
        <v>237</v>
      </c>
      <c r="D41" s="601" t="s">
        <v>615</v>
      </c>
      <c r="E41" s="602" t="s">
        <v>1504</v>
      </c>
      <c r="F41" s="662" t="s">
        <v>2824</v>
      </c>
      <c r="G41" s="616"/>
      <c r="H41" s="655" t="s">
        <v>2772</v>
      </c>
      <c r="J41" s="607" t="s">
        <v>2053</v>
      </c>
    </row>
    <row r="42" spans="2:10" s="607" customFormat="1" ht="15.75" customHeight="1">
      <c r="B42" s="617" t="str">
        <f t="shared" si="0"/>
        <v>Describe your specific scenario</v>
      </c>
      <c r="C42" s="601" t="s">
        <v>274</v>
      </c>
      <c r="D42" s="601" t="s">
        <v>616</v>
      </c>
      <c r="E42" s="602" t="s">
        <v>1505</v>
      </c>
      <c r="F42" s="662" t="s">
        <v>2825</v>
      </c>
      <c r="G42" s="616"/>
      <c r="H42" s="655" t="s">
        <v>2772</v>
      </c>
      <c r="J42" s="607" t="s">
        <v>2054</v>
      </c>
    </row>
    <row r="43" spans="2:10" s="607" customFormat="1" ht="15.75" customHeight="1">
      <c r="B43" s="617" t="str">
        <f t="shared" si="0"/>
        <v xml:space="preserve">Excel 2003: </v>
      </c>
      <c r="C43" s="601" t="s">
        <v>254</v>
      </c>
      <c r="D43" s="609" t="s">
        <v>617</v>
      </c>
      <c r="E43" s="601" t="s">
        <v>254</v>
      </c>
      <c r="F43" s="662" t="s">
        <v>254</v>
      </c>
      <c r="G43" s="616"/>
      <c r="H43" s="655" t="s">
        <v>2772</v>
      </c>
      <c r="J43" s="607" t="s">
        <v>2055</v>
      </c>
    </row>
    <row r="44" spans="2:10" s="607" customFormat="1" ht="15.75" customHeight="1">
      <c r="B44" s="617" t="str">
        <f t="shared" si="0"/>
        <v>Excel 2007:</v>
      </c>
      <c r="C44" s="601" t="s">
        <v>251</v>
      </c>
      <c r="D44" s="609" t="s">
        <v>618</v>
      </c>
      <c r="E44" s="601" t="s">
        <v>251</v>
      </c>
      <c r="F44" s="662" t="s">
        <v>251</v>
      </c>
      <c r="G44" s="616"/>
      <c r="H44" s="655" t="s">
        <v>2772</v>
      </c>
      <c r="J44" s="607" t="s">
        <v>2056</v>
      </c>
    </row>
    <row r="45" spans="2:10" s="607" customFormat="1" ht="15.75" customHeight="1">
      <c r="B45" s="617" t="str">
        <f t="shared" si="0"/>
        <v xml:space="preserve">Follow steps 1-5 on the inputs page to define your current configuration, desired target light levels, and relevant costs </v>
      </c>
      <c r="C45" s="601" t="s">
        <v>242</v>
      </c>
      <c r="D45" s="601" t="s">
        <v>619</v>
      </c>
      <c r="E45" s="602" t="s">
        <v>1506</v>
      </c>
      <c r="F45" s="662" t="s">
        <v>2826</v>
      </c>
      <c r="G45" s="616"/>
      <c r="H45" s="655" t="s">
        <v>2772</v>
      </c>
      <c r="J45" s="607" t="s">
        <v>2057</v>
      </c>
    </row>
    <row r="46" spans="2:10" s="607" customFormat="1" ht="15.75" customHeight="1">
      <c r="B46" s="617" t="str">
        <f t="shared" si="0"/>
        <v xml:space="preserve">Follow steps 1-5 to define your road configuration, desired target light levels, and relavant costs </v>
      </c>
      <c r="C46" s="601" t="s">
        <v>239</v>
      </c>
      <c r="D46" s="601" t="s">
        <v>620</v>
      </c>
      <c r="E46" s="602" t="s">
        <v>1507</v>
      </c>
      <c r="F46" s="662" t="s">
        <v>2827</v>
      </c>
      <c r="G46" s="616"/>
      <c r="H46" s="655" t="s">
        <v>2772</v>
      </c>
      <c r="J46" s="607" t="s">
        <v>2058</v>
      </c>
    </row>
    <row r="47" spans="2:10" s="607" customFormat="1" ht="15.75" customHeight="1">
      <c r="B47" s="617" t="str">
        <f t="shared" si="0"/>
        <v xml:space="preserve">Follow steps 1-5, choosing the appropriate comparison type of single fixture or multiple fixtures in step 3 </v>
      </c>
      <c r="C47" s="601" t="s">
        <v>231</v>
      </c>
      <c r="D47" s="601" t="s">
        <v>621</v>
      </c>
      <c r="E47" s="602" t="s">
        <v>1508</v>
      </c>
      <c r="F47" s="662" t="s">
        <v>2828</v>
      </c>
      <c r="G47" s="616"/>
      <c r="H47" s="655" t="s">
        <v>2772</v>
      </c>
      <c r="J47" s="607" t="s">
        <v>2059</v>
      </c>
    </row>
    <row r="48" spans="2:10" s="607" customFormat="1" ht="15.75" customHeight="1">
      <c r="B48" s="617" t="str">
        <f t="shared" si="0"/>
        <v xml:space="preserve">For a description of the other tabs and what they contain go here: </v>
      </c>
      <c r="C48" s="601" t="s">
        <v>283</v>
      </c>
      <c r="D48" s="601" t="s">
        <v>622</v>
      </c>
      <c r="E48" s="602" t="s">
        <v>858</v>
      </c>
      <c r="F48" s="662" t="s">
        <v>2829</v>
      </c>
      <c r="G48" s="616"/>
      <c r="H48" s="655" t="s">
        <v>2772</v>
      </c>
      <c r="J48" s="607" t="s">
        <v>2060</v>
      </c>
    </row>
    <row r="49" spans="2:10" s="607" customFormat="1" ht="15.75" customHeight="1">
      <c r="B49" s="617" t="str">
        <f t="shared" si="0"/>
        <v>Get Started!</v>
      </c>
      <c r="C49" s="601" t="s">
        <v>267</v>
      </c>
      <c r="D49" s="601" t="s">
        <v>623</v>
      </c>
      <c r="E49" s="602" t="s">
        <v>1509</v>
      </c>
      <c r="F49" s="662" t="s">
        <v>2830</v>
      </c>
      <c r="G49" s="616"/>
      <c r="H49" s="655" t="s">
        <v>2772</v>
      </c>
      <c r="J49" s="607" t="s">
        <v>2061</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233</v>
      </c>
      <c r="D50" s="601" t="s">
        <v>624</v>
      </c>
      <c r="E50" s="602" t="s">
        <v>1510</v>
      </c>
      <c r="F50" s="662" t="s">
        <v>2831</v>
      </c>
      <c r="G50" s="616"/>
      <c r="H50" s="655" t="s">
        <v>2772</v>
      </c>
      <c r="J50" s="607" t="s">
        <v>2062</v>
      </c>
    </row>
    <row r="51" spans="2:10" s="607" customFormat="1" ht="15.75" customHeight="1">
      <c r="B51" s="617" t="str">
        <f t="shared" si="0"/>
        <v>'Inputs' Tab</v>
      </c>
      <c r="C51" s="601" t="s">
        <v>245</v>
      </c>
      <c r="D51" s="601" t="s">
        <v>1904</v>
      </c>
      <c r="E51" s="602" t="s">
        <v>859</v>
      </c>
      <c r="F51" s="662" t="s">
        <v>2832</v>
      </c>
      <c r="G51" s="616"/>
      <c r="H51" s="655" t="s">
        <v>2772</v>
      </c>
      <c r="J51" s="607" t="s">
        <v>2063</v>
      </c>
    </row>
    <row r="52" spans="2:10" s="607" customFormat="1" ht="15.75" customHeight="1">
      <c r="B52" s="617" t="str">
        <f t="shared" si="0"/>
        <v xml:space="preserve">Instructions for potential applications of the tool: </v>
      </c>
      <c r="C52" s="601" t="s">
        <v>351</v>
      </c>
      <c r="D52" s="601" t="s">
        <v>625</v>
      </c>
      <c r="E52" s="602" t="s">
        <v>860</v>
      </c>
      <c r="F52" s="662" t="s">
        <v>2833</v>
      </c>
      <c r="G52" s="616"/>
      <c r="H52" s="655" t="s">
        <v>2772</v>
      </c>
      <c r="J52" s="607" t="s">
        <v>2064</v>
      </c>
    </row>
    <row r="53" spans="2:10" s="607" customFormat="1" ht="15.75" customHeight="1">
      <c r="B53" s="617" t="str">
        <f t="shared" si="0"/>
        <v>Macros</v>
      </c>
      <c r="C53" s="601" t="s">
        <v>258</v>
      </c>
      <c r="D53" s="601" t="s">
        <v>258</v>
      </c>
      <c r="E53" s="601" t="s">
        <v>258</v>
      </c>
      <c r="F53" s="662" t="s">
        <v>258</v>
      </c>
      <c r="G53" s="616"/>
      <c r="H53" s="655" t="s">
        <v>2772</v>
      </c>
      <c r="J53" s="607" t="s">
        <v>2065</v>
      </c>
    </row>
    <row r="54" spans="2:10" s="607" customFormat="1" ht="15.75" customHeight="1">
      <c r="B54" s="617" t="str">
        <f t="shared" si="0"/>
        <v>Macros are required to perform the lighting calculations. To use the tool, you must enable macros. To do this:</v>
      </c>
      <c r="C54" s="601" t="s">
        <v>259</v>
      </c>
      <c r="D54" s="601" t="s">
        <v>626</v>
      </c>
      <c r="E54" s="602" t="s">
        <v>1511</v>
      </c>
      <c r="F54" s="662" t="s">
        <v>2834</v>
      </c>
      <c r="G54" s="616"/>
      <c r="H54" s="655" t="s">
        <v>2772</v>
      </c>
      <c r="J54" s="607" t="s">
        <v>2066</v>
      </c>
    </row>
    <row r="55" spans="2:10" s="607" customFormat="1" ht="15.75" customHeight="1">
      <c r="B55" s="617" t="str">
        <f t="shared" si="0"/>
        <v>Make your own:</v>
      </c>
      <c r="C55" s="601" t="s">
        <v>270</v>
      </c>
      <c r="D55" s="601" t="s">
        <v>627</v>
      </c>
      <c r="E55" s="602" t="s">
        <v>861</v>
      </c>
      <c r="F55" s="662" t="s">
        <v>2835</v>
      </c>
      <c r="G55" s="616"/>
      <c r="H55" s="655" t="s">
        <v>2772</v>
      </c>
      <c r="J55" s="607" t="s">
        <v>2067</v>
      </c>
    </row>
    <row r="56" spans="2:10" s="607" customFormat="1" ht="15.75" customHeight="1">
      <c r="B56" s="617" t="str">
        <f t="shared" si="0"/>
        <v>Most steps are self explanatory, but for a few pointers on a specific application, see these links:</v>
      </c>
      <c r="C56" s="601" t="s">
        <v>262</v>
      </c>
      <c r="D56" s="601" t="s">
        <v>628</v>
      </c>
      <c r="E56" s="602" t="s">
        <v>862</v>
      </c>
      <c r="F56" s="662" t="s">
        <v>2836</v>
      </c>
      <c r="G56" s="616"/>
      <c r="H56" s="655" t="s">
        <v>2772</v>
      </c>
      <c r="J56" s="607" t="s">
        <v>2068</v>
      </c>
    </row>
    <row r="57" spans="2:10" s="607" customFormat="1" ht="15.75" customHeight="1">
      <c r="B57" s="617" t="str">
        <f t="shared" si="0"/>
        <v>New installation</v>
      </c>
      <c r="C57" s="601" t="s">
        <v>266</v>
      </c>
      <c r="D57" s="601" t="s">
        <v>629</v>
      </c>
      <c r="E57" s="602" t="s">
        <v>863</v>
      </c>
      <c r="F57" s="662" t="s">
        <v>2837</v>
      </c>
      <c r="G57" s="616"/>
      <c r="H57" s="655" t="s">
        <v>2772</v>
      </c>
      <c r="J57" s="607" t="s">
        <v>2069</v>
      </c>
    </row>
    <row r="58" spans="2:10" s="607" customFormat="1" ht="15.75" customHeight="1">
      <c r="B58" s="617" t="str">
        <f t="shared" si="0"/>
        <v>New Installation and Major Retrofit</v>
      </c>
      <c r="C58" s="601" t="s">
        <v>223</v>
      </c>
      <c r="D58" s="601" t="s">
        <v>630</v>
      </c>
      <c r="E58" s="602" t="s">
        <v>1512</v>
      </c>
      <c r="F58" s="662" t="s">
        <v>2838</v>
      </c>
      <c r="G58" s="616"/>
      <c r="H58" s="655" t="s">
        <v>2772</v>
      </c>
      <c r="J58" s="607" t="s">
        <v>2070</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275</v>
      </c>
      <c r="D59" s="601" t="s">
        <v>631</v>
      </c>
      <c r="E59" s="602" t="s">
        <v>864</v>
      </c>
      <c r="F59" s="662" t="s">
        <v>2839</v>
      </c>
      <c r="G59" s="616"/>
      <c r="H59" s="655" t="s">
        <v>2772</v>
      </c>
      <c r="J59" s="607" t="s">
        <v>2071</v>
      </c>
    </row>
    <row r="60" spans="2:10" s="607" customFormat="1" ht="15.75" customHeight="1">
      <c r="B60" s="617" t="str">
        <f t="shared" si="0"/>
        <v>OR</v>
      </c>
      <c r="C60" s="601" t="s">
        <v>269</v>
      </c>
      <c r="D60" s="601" t="s">
        <v>632</v>
      </c>
      <c r="E60" s="602" t="s">
        <v>1513</v>
      </c>
      <c r="F60" s="662" t="s">
        <v>2840</v>
      </c>
      <c r="G60" s="616"/>
      <c r="H60" s="655" t="s">
        <v>2772</v>
      </c>
      <c r="J60" s="607" t="s">
        <v>2072</v>
      </c>
    </row>
    <row r="61" spans="2:10" s="607" customFormat="1" ht="15.75" customHeight="1">
      <c r="B61" s="617" t="str">
        <f t="shared" si="0"/>
        <v>Retrofit - basic</v>
      </c>
      <c r="C61" s="601" t="s">
        <v>264</v>
      </c>
      <c r="D61" s="601" t="s">
        <v>633</v>
      </c>
      <c r="E61" s="602" t="s">
        <v>865</v>
      </c>
      <c r="F61" s="662" t="s">
        <v>2841</v>
      </c>
      <c r="G61" s="616"/>
      <c r="H61" s="655" t="s">
        <v>2772</v>
      </c>
      <c r="J61" s="607" t="s">
        <v>2073</v>
      </c>
    </row>
    <row r="62" spans="2:10" s="607" customFormat="1" ht="15.75" customHeight="1">
      <c r="B62" s="617" t="str">
        <f t="shared" si="0"/>
        <v>Retrofit - Design Phase</v>
      </c>
      <c r="C62" s="601" t="s">
        <v>221</v>
      </c>
      <c r="D62" s="601" t="s">
        <v>634</v>
      </c>
      <c r="E62" s="602" t="s">
        <v>866</v>
      </c>
      <c r="F62" s="662" t="s">
        <v>2842</v>
      </c>
      <c r="G62" s="616"/>
      <c r="H62" s="655" t="s">
        <v>2772</v>
      </c>
      <c r="J62" s="607" t="s">
        <v>2074</v>
      </c>
    </row>
    <row r="63" spans="2:10" s="607" customFormat="1" ht="15.75" customHeight="1">
      <c r="B63" s="617" t="str">
        <f t="shared" si="0"/>
        <v>Retrofit - detailed</v>
      </c>
      <c r="C63" s="601" t="s">
        <v>265</v>
      </c>
      <c r="D63" s="601" t="s">
        <v>635</v>
      </c>
      <c r="E63" s="602" t="s">
        <v>867</v>
      </c>
      <c r="F63" s="662" t="s">
        <v>2843</v>
      </c>
      <c r="G63" s="616"/>
      <c r="H63" s="655" t="s">
        <v>2772</v>
      </c>
      <c r="J63" s="607" t="s">
        <v>2075</v>
      </c>
    </row>
    <row r="64" spans="2:10" s="607" customFormat="1" ht="15.75" customHeight="1">
      <c r="B64" s="617" t="str">
        <f t="shared" si="0"/>
        <v xml:space="preserve">Retrofit - Exploratory Phase </v>
      </c>
      <c r="C64" s="601" t="s">
        <v>352</v>
      </c>
      <c r="D64" s="601" t="s">
        <v>636</v>
      </c>
      <c r="E64" s="602" t="s">
        <v>868</v>
      </c>
      <c r="F64" s="662" t="s">
        <v>2844</v>
      </c>
      <c r="G64" s="616"/>
      <c r="H64" s="655" t="s">
        <v>2772</v>
      </c>
      <c r="J64" s="607" t="s">
        <v>2076</v>
      </c>
    </row>
    <row r="65" spans="2:12" s="607" customFormat="1" ht="15.75" customHeight="1">
      <c r="B65" s="617" t="str">
        <f t="shared" si="0"/>
        <v>Scope of tool</v>
      </c>
      <c r="C65" s="601" t="s">
        <v>247</v>
      </c>
      <c r="D65" s="601" t="s">
        <v>637</v>
      </c>
      <c r="E65" s="602" t="s">
        <v>869</v>
      </c>
      <c r="F65" s="662" t="s">
        <v>2845</v>
      </c>
      <c r="G65" s="616"/>
      <c r="H65" s="655" t="s">
        <v>2772</v>
      </c>
      <c r="J65" s="607" t="s">
        <v>2077</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219</v>
      </c>
      <c r="D66" s="601" t="s">
        <v>638</v>
      </c>
      <c r="E66" s="602" t="s">
        <v>1514</v>
      </c>
      <c r="F66" s="662" t="s">
        <v>2846</v>
      </c>
      <c r="G66" s="616"/>
      <c r="H66" s="655" t="s">
        <v>2772</v>
      </c>
      <c r="J66" s="607" t="s">
        <v>2078</v>
      </c>
    </row>
    <row r="67" spans="2:12" s="607" customFormat="1" ht="15.75" customHeight="1">
      <c r="B67" s="617" t="str">
        <f t="shared" si="0"/>
        <v xml:space="preserve">Single  Fixture </v>
      </c>
      <c r="C67" s="601" t="s">
        <v>353</v>
      </c>
      <c r="D67" s="601" t="s">
        <v>610</v>
      </c>
      <c r="E67" s="602" t="s">
        <v>1515</v>
      </c>
      <c r="F67" s="662" t="s">
        <v>2847</v>
      </c>
      <c r="G67" s="616"/>
      <c r="H67" s="655" t="s">
        <v>2772</v>
      </c>
      <c r="J67" s="607" t="s">
        <v>2079</v>
      </c>
    </row>
    <row r="68" spans="2:12" s="607" customFormat="1" ht="15.75" customHeight="1">
      <c r="B68" s="617" t="str">
        <f t="shared" si="0"/>
        <v>Specific Applications</v>
      </c>
      <c r="C68" s="601" t="s">
        <v>261</v>
      </c>
      <c r="D68" s="601" t="s">
        <v>639</v>
      </c>
      <c r="E68" s="602" t="s">
        <v>870</v>
      </c>
      <c r="F68" s="662" t="s">
        <v>2848</v>
      </c>
      <c r="G68" s="616"/>
      <c r="H68" s="655" t="s">
        <v>2772</v>
      </c>
      <c r="J68" s="607" t="s">
        <v>2080</v>
      </c>
    </row>
    <row r="69" spans="2:12" s="607" customFormat="1" ht="15.75" customHeight="1">
      <c r="B69" s="617" t="str">
        <f t="shared" si="0"/>
        <v>Start with an example:</v>
      </c>
      <c r="C69" s="601" t="s">
        <v>268</v>
      </c>
      <c r="D69" s="601" t="s">
        <v>599</v>
      </c>
      <c r="E69" s="602" t="s">
        <v>1516</v>
      </c>
      <c r="F69" s="662" t="s">
        <v>2849</v>
      </c>
      <c r="G69" s="616"/>
      <c r="H69" s="655" t="s">
        <v>2772</v>
      </c>
      <c r="J69" s="607" t="s">
        <v>2081</v>
      </c>
    </row>
    <row r="70" spans="2:12" s="607" customFormat="1" ht="15.75" customHeight="1">
      <c r="B70" s="617" t="str">
        <f t="shared" si="0"/>
        <v>Tab Descriptions</v>
      </c>
      <c r="C70" s="601" t="s">
        <v>248</v>
      </c>
      <c r="D70" s="601" t="s">
        <v>640</v>
      </c>
      <c r="E70" s="602" t="s">
        <v>871</v>
      </c>
      <c r="F70" s="662" t="s">
        <v>2850</v>
      </c>
      <c r="G70" s="616"/>
      <c r="H70" s="655" t="s">
        <v>2772</v>
      </c>
      <c r="J70" s="607" t="s">
        <v>2082</v>
      </c>
      <c r="L70" s="607" t="s">
        <v>2083</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232</v>
      </c>
      <c r="D71" s="601" t="s">
        <v>641</v>
      </c>
      <c r="E71" s="602" t="s">
        <v>1517</v>
      </c>
      <c r="F71" s="664" t="s">
        <v>2851</v>
      </c>
      <c r="G71" s="616"/>
      <c r="H71" s="655" t="s">
        <v>2772</v>
      </c>
      <c r="J71" s="607" t="s">
        <v>2084</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246</v>
      </c>
      <c r="D72" s="601" t="s">
        <v>642</v>
      </c>
      <c r="E72" s="602" t="s">
        <v>1518</v>
      </c>
      <c r="F72" s="662" t="s">
        <v>2852</v>
      </c>
      <c r="G72" s="616"/>
      <c r="H72" s="655" t="s">
        <v>2772</v>
      </c>
      <c r="J72" s="607" t="s">
        <v>2085</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241</v>
      </c>
      <c r="D73" s="601" t="s">
        <v>643</v>
      </c>
      <c r="E73" s="602" t="s">
        <v>1519</v>
      </c>
      <c r="F73" s="662" t="s">
        <v>2853</v>
      </c>
      <c r="G73" s="616"/>
      <c r="H73" s="655" t="s">
        <v>2772</v>
      </c>
      <c r="J73" s="607" t="s">
        <v>2086</v>
      </c>
      <c r="L73" s="607" t="s">
        <v>2087</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220</v>
      </c>
      <c r="D74" s="601" t="s">
        <v>644</v>
      </c>
      <c r="E74" s="602" t="s">
        <v>1520</v>
      </c>
      <c r="F74" s="662" t="s">
        <v>2854</v>
      </c>
      <c r="G74" s="616"/>
      <c r="H74" s="655" t="s">
        <v>2772</v>
      </c>
      <c r="J74" s="607" t="s">
        <v>2088</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249</v>
      </c>
      <c r="D75" s="601" t="s">
        <v>645</v>
      </c>
      <c r="E75" s="602" t="s">
        <v>1521</v>
      </c>
      <c r="F75" s="662" t="s">
        <v>2855</v>
      </c>
      <c r="G75" s="616"/>
      <c r="H75" s="655" t="s">
        <v>2772</v>
      </c>
      <c r="J75" s="607" t="s">
        <v>2089</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234</v>
      </c>
      <c r="D76" s="601" t="s">
        <v>646</v>
      </c>
      <c r="E76" s="602" t="s">
        <v>1522</v>
      </c>
      <c r="F76" s="662" t="s">
        <v>2856</v>
      </c>
      <c r="G76" s="616"/>
      <c r="H76" s="655" t="s">
        <v>2772</v>
      </c>
      <c r="J76" s="607" t="s">
        <v>2090</v>
      </c>
    </row>
    <row r="77" spans="2:12" s="607" customFormat="1" ht="15.75" customHeight="1">
      <c r="B77" s="617" t="str">
        <f t="shared" si="1"/>
        <v>Tools' -&gt; Macro -&gt; Security</v>
      </c>
      <c r="C77" s="601" t="s">
        <v>255</v>
      </c>
      <c r="D77" s="601" t="s">
        <v>647</v>
      </c>
      <c r="E77" s="602" t="s">
        <v>872</v>
      </c>
      <c r="F77" s="662" t="s">
        <v>255</v>
      </c>
      <c r="G77" s="616"/>
      <c r="H77" s="655" t="s">
        <v>2772</v>
      </c>
      <c r="J77" s="607" t="s">
        <v>2091</v>
      </c>
    </row>
    <row r="78" spans="2:12" s="607" customFormat="1" ht="15.75" customHeight="1">
      <c r="B78" s="617" t="str">
        <f t="shared" si="1"/>
        <v>Trusted publishers tab, click Trust all installed add-ins and templates</v>
      </c>
      <c r="C78" s="601" t="s">
        <v>256</v>
      </c>
      <c r="D78" s="601" t="s">
        <v>648</v>
      </c>
      <c r="E78" s="602" t="s">
        <v>873</v>
      </c>
      <c r="F78" s="662" t="s">
        <v>2857</v>
      </c>
      <c r="G78" s="616"/>
      <c r="H78" s="655" t="s">
        <v>2772</v>
      </c>
      <c r="J78" s="607" t="s">
        <v>2092</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238</v>
      </c>
      <c r="D79" s="601" t="s">
        <v>649</v>
      </c>
      <c r="E79" s="602" t="s">
        <v>1523</v>
      </c>
      <c r="F79" s="662" t="s">
        <v>2858</v>
      </c>
      <c r="G79" s="616"/>
      <c r="H79" s="655" t="s">
        <v>2772</v>
      </c>
      <c r="J79" s="607" t="s">
        <v>2093</v>
      </c>
    </row>
    <row r="80" spans="2:12" s="607" customFormat="1" ht="15.75" customHeight="1">
      <c r="B80" s="617" t="str">
        <f t="shared" si="1"/>
        <v>Using the Tool</v>
      </c>
      <c r="C80" s="601" t="s">
        <v>257</v>
      </c>
      <c r="D80" s="601" t="s">
        <v>650</v>
      </c>
      <c r="E80" s="602" t="s">
        <v>874</v>
      </c>
      <c r="F80" s="662" t="s">
        <v>2859</v>
      </c>
      <c r="G80" s="616"/>
      <c r="H80" s="655" t="s">
        <v>2772</v>
      </c>
      <c r="J80" s="607" t="s">
        <v>2094</v>
      </c>
    </row>
    <row r="81" spans="2:13" s="607" customFormat="1" ht="15.75" customHeight="1">
      <c r="B81" s="617" t="str">
        <f t="shared" si="1"/>
        <v xml:space="preserve">When choosing the upgrade fixture in Step 3, choose 'Multiple Fixtures' option and select some or all of the generic typical fixtures </v>
      </c>
      <c r="C81" s="601" t="s">
        <v>240</v>
      </c>
      <c r="D81" s="601" t="s">
        <v>651</v>
      </c>
      <c r="E81" s="602" t="s">
        <v>1524</v>
      </c>
      <c r="F81" s="662" t="s">
        <v>2860</v>
      </c>
      <c r="G81" s="616"/>
      <c r="H81" s="655" t="s">
        <v>2772</v>
      </c>
      <c r="J81" s="607" t="s">
        <v>2095</v>
      </c>
      <c r="L81" s="607" t="s">
        <v>2096</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224</v>
      </c>
      <c r="D82" s="601" t="s">
        <v>1905</v>
      </c>
      <c r="E82" s="602" t="s">
        <v>1525</v>
      </c>
      <c r="F82" s="662" t="s">
        <v>2861</v>
      </c>
      <c r="G82" s="616"/>
      <c r="H82" s="655" t="s">
        <v>2772</v>
      </c>
      <c r="J82" s="607" t="s">
        <v>2097</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596</v>
      </c>
      <c r="D83" s="601" t="s">
        <v>836</v>
      </c>
      <c r="E83" s="608" t="s">
        <v>1906</v>
      </c>
      <c r="F83" s="662" t="s">
        <v>2862</v>
      </c>
      <c r="G83" s="616"/>
      <c r="H83" s="655"/>
      <c r="J83" s="607" t="s">
        <v>2098</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354</v>
      </c>
      <c r="D84" s="601" t="s">
        <v>652</v>
      </c>
      <c r="E84" s="608" t="s">
        <v>1526</v>
      </c>
      <c r="F84" s="662" t="s">
        <v>2863</v>
      </c>
      <c r="G84" s="616"/>
      <c r="H84" s="655"/>
      <c r="J84" s="607" t="s">
        <v>2099</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355</v>
      </c>
      <c r="D85" s="601" t="s">
        <v>1907</v>
      </c>
      <c r="E85" s="608" t="s">
        <v>1527</v>
      </c>
      <c r="F85" s="662" t="s">
        <v>2864</v>
      </c>
      <c r="G85" s="616"/>
      <c r="H85" s="655"/>
      <c r="J85" s="607" t="s">
        <v>2100</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356</v>
      </c>
      <c r="D86" s="601" t="s">
        <v>653</v>
      </c>
      <c r="E86" s="608" t="s">
        <v>1528</v>
      </c>
      <c r="F86" s="662" t="s">
        <v>2865</v>
      </c>
      <c r="G86" s="616"/>
      <c r="H86" s="655"/>
      <c r="J86" s="607" t="s">
        <v>2101</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312</v>
      </c>
      <c r="D87" s="601" t="s">
        <v>1908</v>
      </c>
      <c r="E87" s="602" t="s">
        <v>1529</v>
      </c>
      <c r="F87" s="662" t="s">
        <v>2866</v>
      </c>
      <c r="G87" s="616"/>
      <c r="H87" s="655"/>
      <c r="J87" s="607" t="s">
        <v>2102</v>
      </c>
    </row>
    <row r="88" spans="2:13" s="607" customFormat="1" ht="15.75" customHeight="1">
      <c r="B88" s="617" t="str">
        <f t="shared" si="1"/>
        <v>Ballast Factor</v>
      </c>
      <c r="C88" s="601" t="s">
        <v>288</v>
      </c>
      <c r="D88" s="601" t="s">
        <v>654</v>
      </c>
      <c r="E88" s="602" t="s">
        <v>876</v>
      </c>
      <c r="F88" s="662" t="s">
        <v>2867</v>
      </c>
      <c r="G88" s="616"/>
      <c r="H88" s="655"/>
      <c r="J88" s="607" t="s">
        <v>2103</v>
      </c>
      <c r="L88" s="607" t="s">
        <v>2104</v>
      </c>
    </row>
    <row r="89" spans="2:13" s="607" customFormat="1" ht="15.75" customHeight="1">
      <c r="B89" s="617" t="str">
        <f t="shared" si="1"/>
        <v>Fixture Cost</v>
      </c>
      <c r="C89" s="601" t="s">
        <v>84</v>
      </c>
      <c r="D89" s="601" t="s">
        <v>655</v>
      </c>
      <c r="E89" s="602" t="s">
        <v>1530</v>
      </c>
      <c r="F89" s="662" t="s">
        <v>2868</v>
      </c>
      <c r="G89" s="616"/>
      <c r="H89" s="655"/>
      <c r="J89" s="607" t="s">
        <v>2105</v>
      </c>
    </row>
    <row r="90" spans="2:13" s="607" customFormat="1" ht="15.75" customHeight="1">
      <c r="B90" s="617" t="str">
        <f t="shared" si="1"/>
        <v>Fixture Life (hours)</v>
      </c>
      <c r="C90" s="601" t="s">
        <v>83</v>
      </c>
      <c r="D90" s="601" t="s">
        <v>656</v>
      </c>
      <c r="E90" s="602" t="s">
        <v>1531</v>
      </c>
      <c r="F90" s="662" t="s">
        <v>2869</v>
      </c>
      <c r="G90" s="616"/>
      <c r="H90" s="655"/>
      <c r="J90" s="607" t="s">
        <v>2106</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303</v>
      </c>
      <c r="D91" s="601" t="s">
        <v>1909</v>
      </c>
      <c r="E91" s="602" t="s">
        <v>1910</v>
      </c>
      <c r="F91" s="662" t="s">
        <v>2870</v>
      </c>
      <c r="G91" s="616"/>
      <c r="H91" s="655"/>
      <c r="J91" s="607" t="s">
        <v>2107</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310</v>
      </c>
      <c r="D92" s="601" t="s">
        <v>1911</v>
      </c>
      <c r="E92" s="602" t="s">
        <v>1532</v>
      </c>
      <c r="F92" s="662" t="s">
        <v>2871</v>
      </c>
      <c r="G92" s="616"/>
      <c r="H92" s="655"/>
      <c r="J92" s="607" t="s">
        <v>2108</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304</v>
      </c>
      <c r="D93" s="601" t="s">
        <v>1912</v>
      </c>
      <c r="E93" s="602" t="s">
        <v>1913</v>
      </c>
      <c r="F93" s="662" t="s">
        <v>2872</v>
      </c>
      <c r="G93" s="616"/>
      <c r="H93" s="655"/>
      <c r="J93" s="607" t="s">
        <v>2109</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309</v>
      </c>
      <c r="D94" s="601" t="s">
        <v>657</v>
      </c>
      <c r="E94" s="602" t="s">
        <v>1533</v>
      </c>
      <c r="F94" s="662" t="s">
        <v>2873</v>
      </c>
      <c r="G94" s="616"/>
      <c r="H94" s="655"/>
      <c r="J94" s="607" t="s">
        <v>2110</v>
      </c>
    </row>
    <row r="95" spans="2:13" s="607" customFormat="1" ht="15.75" customHeight="1">
      <c r="B95" s="617" t="str">
        <f t="shared" si="1"/>
        <v>Total Light Loss Factor</v>
      </c>
      <c r="C95" s="601" t="s">
        <v>548</v>
      </c>
      <c r="D95" s="601" t="s">
        <v>658</v>
      </c>
      <c r="E95" s="602" t="s">
        <v>1534</v>
      </c>
      <c r="F95" s="662" t="s">
        <v>2874</v>
      </c>
      <c r="G95" s="616"/>
      <c r="H95" s="655"/>
      <c r="J95" s="607" t="s">
        <v>2111</v>
      </c>
      <c r="L95" s="607" t="s">
        <v>2112</v>
      </c>
      <c r="M95" s="607" t="s">
        <v>2113</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308</v>
      </c>
      <c r="D96" s="601" t="s">
        <v>1914</v>
      </c>
      <c r="E96" s="602" t="s">
        <v>1535</v>
      </c>
      <c r="F96" s="662" t="s">
        <v>2875</v>
      </c>
      <c r="G96" s="616"/>
      <c r="H96" s="655"/>
      <c r="J96" s="607" t="s">
        <v>2114</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306</v>
      </c>
      <c r="D97" s="601" t="s">
        <v>1915</v>
      </c>
      <c r="E97" s="602" t="s">
        <v>1536</v>
      </c>
      <c r="F97" s="662" t="s">
        <v>3319</v>
      </c>
      <c r="G97" s="616"/>
      <c r="H97" s="655"/>
      <c r="J97" s="607" t="s">
        <v>2115</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311</v>
      </c>
      <c r="D98" s="601" t="s">
        <v>659</v>
      </c>
      <c r="E98" s="602" t="s">
        <v>1916</v>
      </c>
      <c r="F98" s="662" t="s">
        <v>2876</v>
      </c>
      <c r="G98" s="616"/>
      <c r="H98" s="655"/>
      <c r="J98" s="607" t="s">
        <v>2116</v>
      </c>
    </row>
    <row r="99" spans="2:24" s="607" customFormat="1" ht="15.75" customHeight="1">
      <c r="B99" s="617" t="str">
        <f t="shared" si="1"/>
        <v>Replacement Bulb Cost</v>
      </c>
      <c r="C99" s="601" t="s">
        <v>85</v>
      </c>
      <c r="D99" s="601" t="s">
        <v>1917</v>
      </c>
      <c r="E99" s="602" t="s">
        <v>1537</v>
      </c>
      <c r="F99" s="662" t="s">
        <v>2877</v>
      </c>
      <c r="G99" s="616"/>
      <c r="H99" s="655"/>
      <c r="J99" s="607" t="s">
        <v>2117</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305</v>
      </c>
      <c r="D100" s="601" t="s">
        <v>660</v>
      </c>
      <c r="E100" s="602" t="s">
        <v>1538</v>
      </c>
      <c r="F100" s="662" t="s">
        <v>3318</v>
      </c>
      <c r="G100" s="616"/>
      <c r="H100" s="655"/>
      <c r="J100" s="607" t="s">
        <v>2118</v>
      </c>
    </row>
    <row r="101" spans="2:24" s="607" customFormat="1" ht="15.75" customHeight="1">
      <c r="B101" s="617" t="str">
        <f t="shared" si="1"/>
        <v>Type</v>
      </c>
      <c r="C101" s="601" t="s">
        <v>1</v>
      </c>
      <c r="D101" s="601" t="s">
        <v>661</v>
      </c>
      <c r="E101" s="602" t="s">
        <v>877</v>
      </c>
      <c r="F101" s="662" t="s">
        <v>2878</v>
      </c>
      <c r="G101" s="616"/>
      <c r="H101" s="655"/>
      <c r="J101" s="607" t="s">
        <v>2119</v>
      </c>
      <c r="L101" s="607" t="s">
        <v>2120</v>
      </c>
      <c r="M101" s="607" t="s">
        <v>2121</v>
      </c>
      <c r="N101" s="607" t="s">
        <v>2122</v>
      </c>
      <c r="O101" s="607" t="s">
        <v>2123</v>
      </c>
    </row>
    <row r="102" spans="2:24" s="607" customFormat="1" ht="15.75" customHeight="1">
      <c r="B102" s="617" t="str">
        <f t="shared" si="1"/>
        <v>Watts</v>
      </c>
      <c r="C102" s="601" t="s">
        <v>49</v>
      </c>
      <c r="D102" s="601" t="s">
        <v>49</v>
      </c>
      <c r="E102" s="602" t="s">
        <v>878</v>
      </c>
      <c r="F102" s="662" t="s">
        <v>2879</v>
      </c>
      <c r="G102" s="616"/>
      <c r="H102" s="655"/>
      <c r="J102" s="607" t="s">
        <v>2124</v>
      </c>
      <c r="L102" s="607" t="s">
        <v>2125</v>
      </c>
      <c r="M102" s="607" t="s">
        <v>2126</v>
      </c>
      <c r="N102" s="607" t="s">
        <v>2127</v>
      </c>
      <c r="O102" s="607" t="s">
        <v>2128</v>
      </c>
    </row>
    <row r="103" spans="2:24" s="607" customFormat="1" ht="15.75" customHeight="1">
      <c r="B103" s="617" t="str">
        <f t="shared" si="1"/>
        <v>Inputs</v>
      </c>
      <c r="C103" s="601" t="s">
        <v>106</v>
      </c>
      <c r="D103" s="601" t="s">
        <v>662</v>
      </c>
      <c r="E103" s="601" t="s">
        <v>879</v>
      </c>
      <c r="F103" s="662" t="s">
        <v>2880</v>
      </c>
      <c r="G103" s="616"/>
      <c r="H103" s="655"/>
      <c r="J103" s="607" t="s">
        <v>2129</v>
      </c>
      <c r="L103" s="607" t="s">
        <v>2130</v>
      </c>
      <c r="M103" s="607" t="s">
        <v>2131</v>
      </c>
      <c r="N103" s="607" t="s">
        <v>2132</v>
      </c>
      <c r="O103" s="607" t="s">
        <v>2133</v>
      </c>
      <c r="P103" s="607" t="s">
        <v>2134</v>
      </c>
      <c r="Q103" s="607" t="s">
        <v>2135</v>
      </c>
      <c r="R103" s="607" t="s">
        <v>2136</v>
      </c>
      <c r="S103" s="607" t="s">
        <v>2137</v>
      </c>
      <c r="T103" s="607" t="s">
        <v>2138</v>
      </c>
      <c r="U103" s="607" t="s">
        <v>2139</v>
      </c>
      <c r="V103" s="607" t="s">
        <v>2140</v>
      </c>
      <c r="W103" s="607" t="s">
        <v>2141</v>
      </c>
      <c r="X103" s="607" t="s">
        <v>2142</v>
      </c>
    </row>
    <row r="104" spans="2:24" s="607" customFormat="1" ht="15.75" customHeight="1">
      <c r="B104" s="617" t="str">
        <f t="shared" si="1"/>
        <v>Analysis Period (years)</v>
      </c>
      <c r="C104" s="601" t="s">
        <v>90</v>
      </c>
      <c r="D104" s="601" t="s">
        <v>663</v>
      </c>
      <c r="E104" s="602" t="s">
        <v>880</v>
      </c>
      <c r="F104" s="662" t="s">
        <v>2881</v>
      </c>
      <c r="G104" s="616"/>
      <c r="H104" s="655"/>
      <c r="J104" s="607" t="s">
        <v>2143</v>
      </c>
    </row>
    <row r="105" spans="2:24" s="607" customFormat="1" ht="15.75" customHeight="1">
      <c r="B105" s="617" t="str">
        <f t="shared" si="1"/>
        <v>Bulb Replacement Cost (labor only)</v>
      </c>
      <c r="C105" s="601" t="s">
        <v>214</v>
      </c>
      <c r="D105" s="601" t="s">
        <v>666</v>
      </c>
      <c r="E105" s="602" t="s">
        <v>1539</v>
      </c>
      <c r="F105" s="662" t="s">
        <v>2882</v>
      </c>
      <c r="G105" s="616"/>
      <c r="H105" s="655"/>
      <c r="J105" s="607" t="s">
        <v>2144</v>
      </c>
    </row>
    <row r="106" spans="2:24" s="607" customFormat="1" ht="15.75" customHeight="1">
      <c r="B106" s="617" t="str">
        <f t="shared" si="1"/>
        <v>Choose Baseline Fixture</v>
      </c>
      <c r="C106" s="601" t="s">
        <v>58</v>
      </c>
      <c r="D106" s="601" t="s">
        <v>667</v>
      </c>
      <c r="E106" s="602" t="s">
        <v>1540</v>
      </c>
      <c r="F106" s="662" t="s">
        <v>2883</v>
      </c>
      <c r="G106" s="616"/>
      <c r="H106" s="655"/>
      <c r="J106" s="607" t="s">
        <v>2145</v>
      </c>
    </row>
    <row r="107" spans="2:24" s="607" customFormat="1" ht="15.75" customHeight="1">
      <c r="B107" s="617" t="str">
        <f t="shared" si="1"/>
        <v>Choose Upgrade Fixture(s)</v>
      </c>
      <c r="C107" s="601" t="s">
        <v>1744</v>
      </c>
      <c r="D107" s="601" t="s">
        <v>1918</v>
      </c>
      <c r="E107" s="602" t="s">
        <v>1541</v>
      </c>
      <c r="F107" s="662" t="s">
        <v>3314</v>
      </c>
      <c r="G107" s="616"/>
      <c r="H107" s="655"/>
      <c r="J107" s="607" t="s">
        <v>2146</v>
      </c>
    </row>
    <row r="108" spans="2:24" s="607" customFormat="1" ht="15.75" customHeight="1">
      <c r="B108" s="617" t="str">
        <f t="shared" si="1"/>
        <v>Default 4380 assumes 12 hours per day</v>
      </c>
      <c r="C108" s="601" t="s">
        <v>287</v>
      </c>
      <c r="D108" s="601" t="s">
        <v>1919</v>
      </c>
      <c r="E108" s="602" t="s">
        <v>1542</v>
      </c>
      <c r="F108" s="662" t="s">
        <v>2884</v>
      </c>
      <c r="G108" s="616"/>
      <c r="H108" s="655"/>
      <c r="J108" s="607" t="s">
        <v>2147</v>
      </c>
    </row>
    <row r="109" spans="2:24" s="607" customFormat="1" ht="15.75" customHeight="1">
      <c r="B109" s="617" t="str">
        <f t="shared" si="1"/>
        <v>Energy Cost ($/kWh)</v>
      </c>
      <c r="C109" s="601" t="s">
        <v>82</v>
      </c>
      <c r="D109" s="601" t="s">
        <v>668</v>
      </c>
      <c r="E109" s="602" t="s">
        <v>881</v>
      </c>
      <c r="F109" s="662" t="s">
        <v>2885</v>
      </c>
      <c r="G109" s="616"/>
      <c r="H109" s="655"/>
      <c r="J109" s="607" t="s">
        <v>2148</v>
      </c>
      <c r="L109" s="607" t="s">
        <v>2149</v>
      </c>
    </row>
    <row r="110" spans="2:24" s="607" customFormat="1" ht="15.75" customHeight="1">
      <c r="B110" s="617" t="str">
        <f t="shared" si="1"/>
        <v>Fixture installation (labor)</v>
      </c>
      <c r="C110" s="601" t="s">
        <v>87</v>
      </c>
      <c r="D110" s="601" t="s">
        <v>669</v>
      </c>
      <c r="E110" s="602" t="s">
        <v>1543</v>
      </c>
      <c r="F110" s="662" t="s">
        <v>2886</v>
      </c>
      <c r="G110" s="616"/>
      <c r="H110" s="655"/>
      <c r="J110" s="607" t="s">
        <v>2150</v>
      </c>
    </row>
    <row r="111" spans="2:24" s="607" customFormat="1" ht="15.75" customHeight="1">
      <c r="B111" s="617" t="str">
        <f t="shared" si="1"/>
        <v>Fixture Name</v>
      </c>
      <c r="C111" s="601" t="s">
        <v>50</v>
      </c>
      <c r="D111" s="601" t="s">
        <v>670</v>
      </c>
      <c r="E111" s="602" t="s">
        <v>1544</v>
      </c>
      <c r="F111" s="662" t="s">
        <v>2887</v>
      </c>
      <c r="G111" s="616"/>
      <c r="H111" s="655"/>
      <c r="J111" s="607" t="s">
        <v>2151</v>
      </c>
      <c r="L111" s="607" t="s">
        <v>2152</v>
      </c>
      <c r="M111" s="607" t="s">
        <v>2153</v>
      </c>
      <c r="N111" s="607" t="s">
        <v>2154</v>
      </c>
    </row>
    <row r="112" spans="2:24" s="607" customFormat="1" ht="15.75" customHeight="1">
      <c r="B112" s="617" t="str">
        <f t="shared" si="1"/>
        <v>Lanes</v>
      </c>
      <c r="C112" s="601" t="s">
        <v>51</v>
      </c>
      <c r="D112" s="601" t="s">
        <v>671</v>
      </c>
      <c r="E112" s="602" t="s">
        <v>883</v>
      </c>
      <c r="F112" s="662" t="s">
        <v>2888</v>
      </c>
      <c r="G112" s="616"/>
      <c r="H112" s="655"/>
      <c r="J112" s="607" t="s">
        <v>2155</v>
      </c>
      <c r="L112" s="607" t="s">
        <v>2156</v>
      </c>
    </row>
    <row r="113" spans="2:33" s="607" customFormat="1" ht="15.75" customHeight="1">
      <c r="B113" s="617" t="str">
        <f t="shared" si="1"/>
        <v>Luminaire Dirt Depreciation</v>
      </c>
      <c r="C113" s="601" t="s">
        <v>95</v>
      </c>
      <c r="D113" s="601" t="s">
        <v>672</v>
      </c>
      <c r="E113" s="602" t="s">
        <v>1545</v>
      </c>
      <c r="F113" s="662" t="s">
        <v>2889</v>
      </c>
      <c r="G113" s="616"/>
      <c r="H113" s="655"/>
      <c r="J113" s="607" t="s">
        <v>2157</v>
      </c>
    </row>
    <row r="114" spans="2:33" s="607" customFormat="1" ht="15.75" customHeight="1">
      <c r="B114" s="617" t="str">
        <f t="shared" si="1"/>
        <v>Number of Lanes</v>
      </c>
      <c r="C114" s="601" t="s">
        <v>5</v>
      </c>
      <c r="D114" s="601" t="s">
        <v>673</v>
      </c>
      <c r="E114" s="602" t="s">
        <v>885</v>
      </c>
      <c r="F114" s="662" t="s">
        <v>2890</v>
      </c>
      <c r="G114" s="616"/>
      <c r="H114" s="655"/>
      <c r="J114" s="607" t="s">
        <v>2158</v>
      </c>
      <c r="L114" s="607" t="s">
        <v>2159</v>
      </c>
      <c r="M114" s="607" t="s">
        <v>2160</v>
      </c>
      <c r="N114" s="607" t="s">
        <v>2161</v>
      </c>
    </row>
    <row r="115" spans="2:33" s="607" customFormat="1" ht="15.75" customHeight="1">
      <c r="B115" s="617" t="str">
        <f t="shared" si="1"/>
        <v>Operating hours</v>
      </c>
      <c r="C115" s="601" t="s">
        <v>16</v>
      </c>
      <c r="D115" s="601" t="s">
        <v>674</v>
      </c>
      <c r="E115" s="602" t="s">
        <v>886</v>
      </c>
      <c r="F115" s="662" t="s">
        <v>2891</v>
      </c>
      <c r="G115" s="616"/>
      <c r="H115" s="655"/>
      <c r="J115" s="607" t="s">
        <v>2162</v>
      </c>
      <c r="L115" s="607" t="s">
        <v>2163</v>
      </c>
    </row>
    <row r="116" spans="2:33" s="607" customFormat="1" ht="15.75" customHeight="1">
      <c r="B116" s="617" t="str">
        <f t="shared" si="1"/>
        <v>Pole Placement</v>
      </c>
      <c r="C116" s="601" t="s">
        <v>15</v>
      </c>
      <c r="D116" s="601" t="s">
        <v>675</v>
      </c>
      <c r="E116" s="602" t="s">
        <v>887</v>
      </c>
      <c r="F116" s="662" t="s">
        <v>2892</v>
      </c>
      <c r="G116" s="616"/>
      <c r="H116" s="655"/>
      <c r="J116" s="607" t="s">
        <v>2164</v>
      </c>
      <c r="L116" s="607" t="s">
        <v>2165</v>
      </c>
      <c r="M116" s="607" t="s">
        <v>2166</v>
      </c>
      <c r="N116" s="607" t="s">
        <v>2167</v>
      </c>
    </row>
    <row r="117" spans="2:33" s="607" customFormat="1" ht="15.75" customHeight="1">
      <c r="B117" s="617" t="str">
        <f t="shared" si="1"/>
        <v>Luminance and Illuminance calculations can be done based on either IES or CIE standard. The output file reflects the method chosen here.</v>
      </c>
      <c r="C117" s="601" t="s">
        <v>1456</v>
      </c>
      <c r="D117" s="601" t="s">
        <v>1546</v>
      </c>
      <c r="E117" s="602" t="s">
        <v>1547</v>
      </c>
      <c r="F117" s="662" t="s">
        <v>2893</v>
      </c>
      <c r="G117" s="616"/>
      <c r="H117" s="655"/>
      <c r="J117" s="607" t="s">
        <v>2168</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67</v>
      </c>
      <c r="D118" s="601" t="s">
        <v>677</v>
      </c>
      <c r="E118" s="602" t="s">
        <v>1549</v>
      </c>
      <c r="F118" s="662" t="s">
        <v>3309</v>
      </c>
      <c r="G118" s="616"/>
      <c r="H118" s="655"/>
      <c r="J118" s="607" t="s">
        <v>2169</v>
      </c>
    </row>
    <row r="119" spans="2:33" s="607" customFormat="1" ht="15.75" customHeight="1">
      <c r="B119" s="617" t="str">
        <f t="shared" si="1"/>
        <v>Select Calculation Method</v>
      </c>
      <c r="C119" s="601" t="s">
        <v>1762</v>
      </c>
      <c r="D119" s="601" t="s">
        <v>1764</v>
      </c>
      <c r="E119" s="602" t="s">
        <v>1763</v>
      </c>
      <c r="F119" s="662" t="s">
        <v>2894</v>
      </c>
      <c r="G119" s="616"/>
      <c r="H119" s="655"/>
      <c r="J119" s="607" t="s">
        <v>2170</v>
      </c>
    </row>
    <row r="120" spans="2:33" s="607" customFormat="1" ht="15.75" customHeight="1">
      <c r="B120" s="617" t="str">
        <f t="shared" si="1"/>
        <v>Temperature Effects</v>
      </c>
      <c r="C120" s="601" t="s">
        <v>307</v>
      </c>
      <c r="D120" s="601" t="s">
        <v>678</v>
      </c>
      <c r="E120" s="602" t="s">
        <v>888</v>
      </c>
      <c r="F120" s="662" t="s">
        <v>2895</v>
      </c>
      <c r="G120" s="616"/>
      <c r="H120" s="655"/>
      <c r="J120" s="607" t="s">
        <v>2171</v>
      </c>
    </row>
    <row r="121" spans="2:33" s="607" customFormat="1" ht="15.75" customHeight="1">
      <c r="B121" s="617" t="str">
        <f t="shared" si="1"/>
        <v>Units</v>
      </c>
      <c r="C121" s="601" t="s">
        <v>32</v>
      </c>
      <c r="D121" s="601" t="s">
        <v>679</v>
      </c>
      <c r="E121" s="602" t="s">
        <v>889</v>
      </c>
      <c r="F121" s="662" t="s">
        <v>2896</v>
      </c>
      <c r="G121" s="616"/>
      <c r="H121" s="655"/>
      <c r="J121" s="607" t="s">
        <v>2172</v>
      </c>
    </row>
    <row r="122" spans="2:33" s="607" customFormat="1" ht="15.75" customHeight="1">
      <c r="B122" s="617" t="str">
        <f t="shared" si="1"/>
        <v>Upgrade</v>
      </c>
      <c r="C122" s="601" t="s">
        <v>19</v>
      </c>
      <c r="D122" s="601" t="s">
        <v>680</v>
      </c>
      <c r="E122" s="602" t="s">
        <v>890</v>
      </c>
      <c r="F122" s="662" t="s">
        <v>2897</v>
      </c>
      <c r="G122" s="616"/>
      <c r="H122" s="655"/>
      <c r="I122" s="607" t="s">
        <v>2173</v>
      </c>
      <c r="J122" s="607" t="s">
        <v>2174</v>
      </c>
      <c r="L122" s="607" t="s">
        <v>2175</v>
      </c>
      <c r="M122" s="607" t="s">
        <v>2176</v>
      </c>
      <c r="N122" s="607" t="s">
        <v>2177</v>
      </c>
      <c r="O122" s="607" t="s">
        <v>2178</v>
      </c>
      <c r="P122" s="607" t="s">
        <v>2179</v>
      </c>
      <c r="Q122" s="607" t="s">
        <v>2180</v>
      </c>
      <c r="R122" s="607" t="s">
        <v>2181</v>
      </c>
      <c r="S122" s="607" t="s">
        <v>2182</v>
      </c>
      <c r="T122" s="607" t="s">
        <v>2183</v>
      </c>
      <c r="U122" s="607" t="s">
        <v>2184</v>
      </c>
      <c r="V122" s="607" t="s">
        <v>2185</v>
      </c>
      <c r="W122" s="607" t="s">
        <v>2186</v>
      </c>
      <c r="X122" s="607" t="s">
        <v>2187</v>
      </c>
      <c r="Y122" s="607" t="s">
        <v>2188</v>
      </c>
      <c r="Z122" s="607" t="s">
        <v>2189</v>
      </c>
      <c r="AA122" s="607" t="s">
        <v>2190</v>
      </c>
      <c r="AB122" s="607" t="s">
        <v>2191</v>
      </c>
      <c r="AC122" s="607" t="s">
        <v>2192</v>
      </c>
      <c r="AD122" s="607" t="s">
        <v>2193</v>
      </c>
      <c r="AE122" s="607" t="s">
        <v>2194</v>
      </c>
      <c r="AF122" s="607" t="s">
        <v>2195</v>
      </c>
      <c r="AG122" s="607" t="s">
        <v>2196</v>
      </c>
    </row>
    <row r="123" spans="2:33" s="607" customFormat="1" ht="15.75" customHeight="1">
      <c r="B123" s="617" t="str">
        <f t="shared" si="1"/>
        <v>IES</v>
      </c>
      <c r="C123" s="601" t="s">
        <v>1249</v>
      </c>
      <c r="D123" s="601" t="s">
        <v>1249</v>
      </c>
      <c r="E123" s="602" t="s">
        <v>1249</v>
      </c>
      <c r="F123" s="662" t="s">
        <v>1249</v>
      </c>
      <c r="G123" s="616"/>
      <c r="H123" s="655"/>
      <c r="I123" s="607" t="s">
        <v>2197</v>
      </c>
    </row>
    <row r="124" spans="2:33" s="607" customFormat="1" ht="15.75" customHeight="1">
      <c r="B124" s="617" t="str">
        <f t="shared" si="1"/>
        <v>CIE</v>
      </c>
      <c r="C124" s="601" t="s">
        <v>1250</v>
      </c>
      <c r="D124" s="601" t="s">
        <v>1250</v>
      </c>
      <c r="E124" s="602" t="s">
        <v>1250</v>
      </c>
      <c r="F124" s="662" t="s">
        <v>1250</v>
      </c>
      <c r="G124" s="616"/>
      <c r="H124" s="655"/>
      <c r="I124" s="607" t="s">
        <v>2197</v>
      </c>
    </row>
    <row r="125" spans="2:33" s="607" customFormat="1" ht="15.75" customHeight="1">
      <c r="B125" s="617" t="str">
        <f t="shared" si="1"/>
        <v>Both</v>
      </c>
      <c r="C125" s="601" t="s">
        <v>1245</v>
      </c>
      <c r="D125" s="601" t="s">
        <v>1351</v>
      </c>
      <c r="E125" s="602" t="s">
        <v>1352</v>
      </c>
      <c r="F125" s="662" t="s">
        <v>2898</v>
      </c>
      <c r="G125" s="616"/>
      <c r="H125" s="655"/>
      <c r="I125" s="607" t="s">
        <v>2198</v>
      </c>
    </row>
    <row r="126" spans="2:33" s="607" customFormat="1" ht="15.75" customHeight="1">
      <c r="B126" s="617" t="str">
        <f t="shared" si="1"/>
        <v>Go back</v>
      </c>
      <c r="C126" s="688" t="s">
        <v>3331</v>
      </c>
      <c r="D126" s="688" t="s">
        <v>3328</v>
      </c>
      <c r="E126" s="688" t="s">
        <v>3329</v>
      </c>
      <c r="F126" s="662" t="s">
        <v>3330</v>
      </c>
      <c r="G126" s="616"/>
      <c r="H126" s="655"/>
      <c r="J126" s="607" t="s">
        <v>2199</v>
      </c>
    </row>
    <row r="127" spans="2:33" s="607" customFormat="1" ht="15.75" customHeight="1">
      <c r="B127" s="617" t="str">
        <f t="shared" si="1"/>
        <v>Arm length</v>
      </c>
      <c r="C127" s="601" t="s">
        <v>4</v>
      </c>
      <c r="D127" s="601" t="s">
        <v>1335</v>
      </c>
      <c r="E127" s="602" t="s">
        <v>891</v>
      </c>
      <c r="F127" s="662" t="s">
        <v>2899</v>
      </c>
      <c r="G127" s="616"/>
      <c r="H127" s="655"/>
      <c r="J127" s="607" t="s">
        <v>2200</v>
      </c>
      <c r="L127" s="607" t="s">
        <v>2201</v>
      </c>
      <c r="M127" s="607" t="s">
        <v>2202</v>
      </c>
      <c r="N127" s="607" t="s">
        <v>2203</v>
      </c>
    </row>
    <row r="128" spans="2:33" s="607" customFormat="1" ht="15.75" customHeight="1">
      <c r="B128" s="617" t="str">
        <f t="shared" si="1"/>
        <v>Fixtures/km</v>
      </c>
      <c r="C128" s="601" t="s">
        <v>55</v>
      </c>
      <c r="D128" s="601" t="s">
        <v>681</v>
      </c>
      <c r="E128" s="602" t="s">
        <v>1550</v>
      </c>
      <c r="F128" s="662" t="s">
        <v>2900</v>
      </c>
      <c r="G128" s="616"/>
      <c r="H128" s="655"/>
      <c r="J128" s="607" t="s">
        <v>2204</v>
      </c>
      <c r="L128" s="607" t="s">
        <v>2205</v>
      </c>
      <c r="M128" s="607" t="s">
        <v>2206</v>
      </c>
      <c r="N128" s="607" t="s">
        <v>2207</v>
      </c>
    </row>
    <row r="129" spans="2:18" s="607" customFormat="1" ht="15.75" customHeight="1">
      <c r="B129" s="617" t="str">
        <f t="shared" si="1"/>
        <v>Median Width</v>
      </c>
      <c r="C129" s="601" t="s">
        <v>34</v>
      </c>
      <c r="D129" s="601" t="s">
        <v>682</v>
      </c>
      <c r="E129" s="602" t="s">
        <v>1551</v>
      </c>
      <c r="F129" s="662" t="s">
        <v>2901</v>
      </c>
      <c r="G129" s="616"/>
      <c r="H129" s="655"/>
      <c r="J129" s="607" t="s">
        <v>2208</v>
      </c>
      <c r="L129" s="607" t="s">
        <v>2209</v>
      </c>
      <c r="M129" s="607" t="s">
        <v>2210</v>
      </c>
      <c r="N129" s="607" t="s">
        <v>2211</v>
      </c>
    </row>
    <row r="130" spans="2:18" s="607" customFormat="1" ht="15.75" customHeight="1">
      <c r="B130" s="617" t="str">
        <f t="shared" si="1"/>
        <v>meters</v>
      </c>
      <c r="C130" s="601" t="s">
        <v>7</v>
      </c>
      <c r="D130" s="601" t="s">
        <v>683</v>
      </c>
      <c r="E130" s="602" t="s">
        <v>894</v>
      </c>
      <c r="F130" s="662" t="s">
        <v>2902</v>
      </c>
      <c r="G130" s="616"/>
      <c r="H130" s="655"/>
      <c r="J130" s="607" t="s">
        <v>2212</v>
      </c>
      <c r="L130" s="607" t="s">
        <v>2213</v>
      </c>
      <c r="M130" s="607" t="s">
        <v>2214</v>
      </c>
      <c r="N130" s="607" t="s">
        <v>2215</v>
      </c>
      <c r="O130" s="607" t="s">
        <v>2216</v>
      </c>
      <c r="P130" s="607" t="s">
        <v>2217</v>
      </c>
      <c r="Q130" s="607" t="s">
        <v>2218</v>
      </c>
      <c r="R130" s="607" t="s">
        <v>2219</v>
      </c>
    </row>
    <row r="131" spans="2:18" s="607" customFormat="1" ht="15.75" customHeight="1">
      <c r="B131" s="617" t="str">
        <f t="shared" si="1"/>
        <v>Luminaire Mounting Height</v>
      </c>
      <c r="C131" s="601" t="s">
        <v>1144</v>
      </c>
      <c r="D131" s="601" t="s">
        <v>1334</v>
      </c>
      <c r="E131" s="601" t="s">
        <v>1552</v>
      </c>
      <c r="F131" s="662" t="s">
        <v>2903</v>
      </c>
      <c r="G131" s="616"/>
      <c r="H131" s="655"/>
      <c r="J131" s="607" t="s">
        <v>2220</v>
      </c>
      <c r="L131" s="607" t="s">
        <v>2221</v>
      </c>
      <c r="M131" s="607" t="s">
        <v>2222</v>
      </c>
      <c r="N131" s="607" t="s">
        <v>2223</v>
      </c>
      <c r="O131" s="607" t="s">
        <v>2224</v>
      </c>
      <c r="P131" s="607" t="s">
        <v>2225</v>
      </c>
    </row>
    <row r="132" spans="2:18" s="607" customFormat="1" ht="15.75" customHeight="1">
      <c r="B132" s="617" t="str">
        <f t="shared" si="1"/>
        <v>Shoulder Width</v>
      </c>
      <c r="C132" s="601" t="s">
        <v>33</v>
      </c>
      <c r="D132" s="601" t="s">
        <v>684</v>
      </c>
      <c r="E132" s="602" t="s">
        <v>1553</v>
      </c>
      <c r="F132" s="662" t="s">
        <v>2904</v>
      </c>
      <c r="G132" s="616"/>
      <c r="H132" s="655"/>
      <c r="J132" s="607" t="s">
        <v>2226</v>
      </c>
      <c r="L132" s="607" t="s">
        <v>2227</v>
      </c>
    </row>
    <row r="133" spans="2:18" s="607" customFormat="1" ht="15.75" customHeight="1">
      <c r="B133" s="617" t="str">
        <f t="shared" si="1"/>
        <v>Spacing of Grid</v>
      </c>
      <c r="C133" s="601" t="s">
        <v>36</v>
      </c>
      <c r="D133" s="601" t="s">
        <v>685</v>
      </c>
      <c r="E133" s="602" t="s">
        <v>896</v>
      </c>
      <c r="F133" s="662" t="s">
        <v>2905</v>
      </c>
      <c r="G133" s="616"/>
      <c r="H133" s="655"/>
      <c r="J133" s="607" t="s">
        <v>2228</v>
      </c>
      <c r="L133" s="607" t="s">
        <v>2229</v>
      </c>
    </row>
    <row r="134" spans="2:18" s="607" customFormat="1" ht="15.75" customHeight="1">
      <c r="B134" s="617" t="str">
        <f t="shared" si="1"/>
        <v>Single-side</v>
      </c>
      <c r="C134" s="601" t="s">
        <v>320</v>
      </c>
      <c r="D134" s="601" t="s">
        <v>806</v>
      </c>
      <c r="E134" s="602" t="s">
        <v>1554</v>
      </c>
      <c r="F134" s="662" t="s">
        <v>3294</v>
      </c>
      <c r="G134" s="616"/>
      <c r="H134" s="655"/>
      <c r="I134" s="607" t="s">
        <v>2230</v>
      </c>
      <c r="J134" s="607" t="s">
        <v>2231</v>
      </c>
      <c r="L134" s="607" t="s">
        <v>2232</v>
      </c>
    </row>
    <row r="135" spans="2:18" s="607" customFormat="1" ht="15.75" customHeight="1">
      <c r="B135" s="617" t="str">
        <f t="shared" si="1"/>
        <v>Staggered</v>
      </c>
      <c r="C135" s="601" t="s">
        <v>367</v>
      </c>
      <c r="D135" s="601" t="s">
        <v>807</v>
      </c>
      <c r="E135" s="602" t="s">
        <v>990</v>
      </c>
      <c r="F135" s="662" t="s">
        <v>3295</v>
      </c>
      <c r="G135" s="616"/>
      <c r="H135" s="655"/>
      <c r="I135" s="607" t="s">
        <v>2230</v>
      </c>
      <c r="J135" s="607" t="s">
        <v>2231</v>
      </c>
      <c r="L135" s="607" t="s">
        <v>2232</v>
      </c>
    </row>
    <row r="136" spans="2:18" s="607" customFormat="1" ht="15.75" customHeight="1">
      <c r="B136" s="617" t="str">
        <f t="shared" si="1"/>
        <v>Median mounted</v>
      </c>
      <c r="C136" s="601" t="s">
        <v>1184</v>
      </c>
      <c r="D136" s="601" t="s">
        <v>1185</v>
      </c>
      <c r="E136" s="602" t="s">
        <v>1555</v>
      </c>
      <c r="F136" s="662" t="s">
        <v>2906</v>
      </c>
      <c r="G136" s="616"/>
      <c r="H136" s="655"/>
      <c r="I136" s="607" t="s">
        <v>2230</v>
      </c>
      <c r="J136" s="607" t="s">
        <v>2231</v>
      </c>
      <c r="L136" s="607" t="s">
        <v>2232</v>
      </c>
    </row>
    <row r="137" spans="2:18" s="607" customFormat="1" ht="15.75" customHeight="1">
      <c r="B137" s="617" t="str">
        <f t="shared" si="1"/>
        <v>Opposite</v>
      </c>
      <c r="C137" s="601" t="s">
        <v>1246</v>
      </c>
      <c r="D137" s="601" t="s">
        <v>1406</v>
      </c>
      <c r="E137" s="602" t="s">
        <v>1354</v>
      </c>
      <c r="F137" s="662" t="s">
        <v>2907</v>
      </c>
      <c r="G137" s="616"/>
      <c r="H137" s="655"/>
      <c r="I137" s="607" t="s">
        <v>2230</v>
      </c>
      <c r="J137" s="607" t="s">
        <v>2231</v>
      </c>
      <c r="L137" s="607" t="s">
        <v>2232</v>
      </c>
    </row>
    <row r="138" spans="2:18" s="607" customFormat="1" ht="15.75" customHeight="1">
      <c r="B138" s="617" t="str">
        <f t="shared" si="1"/>
        <v>Lighting Standards</v>
      </c>
      <c r="C138" s="601" t="s">
        <v>325</v>
      </c>
      <c r="D138" s="601" t="s">
        <v>686</v>
      </c>
      <c r="E138" s="601" t="s">
        <v>897</v>
      </c>
      <c r="F138" s="662" t="s">
        <v>2908</v>
      </c>
      <c r="G138" s="616"/>
      <c r="H138" s="655"/>
      <c r="J138" s="607" t="s">
        <v>2233</v>
      </c>
    </row>
    <row r="139" spans="2:18" s="607" customFormat="1" ht="15.75" customHeight="1">
      <c r="B139" s="617" t="str">
        <f t="shared" si="1"/>
        <v>Ambient luminance</v>
      </c>
      <c r="C139" s="601" t="s">
        <v>158</v>
      </c>
      <c r="D139" s="601" t="s">
        <v>687</v>
      </c>
      <c r="E139" s="602" t="s">
        <v>898</v>
      </c>
      <c r="F139" s="662" t="s">
        <v>2909</v>
      </c>
      <c r="G139" s="616"/>
      <c r="H139" s="655"/>
      <c r="J139" s="607" t="s">
        <v>2234</v>
      </c>
    </row>
    <row r="140" spans="2:18" s="607" customFormat="1" ht="15.75" customHeight="1">
      <c r="B140" s="617" t="str">
        <f t="shared" ref="B140:B203" si="2">INDEX(C140:G140,MATCH($B$11,$C$11:$G$11,0))</f>
        <v>Average Illuminance Target (Iavg)</v>
      </c>
      <c r="C140" s="601" t="s">
        <v>184</v>
      </c>
      <c r="D140" s="601" t="s">
        <v>664</v>
      </c>
      <c r="E140" s="602" t="s">
        <v>899</v>
      </c>
      <c r="F140" s="662" t="s">
        <v>2910</v>
      </c>
      <c r="G140" s="616"/>
      <c r="H140" s="655"/>
      <c r="J140" s="607" t="s">
        <v>2235</v>
      </c>
      <c r="L140" s="607" t="s">
        <v>2236</v>
      </c>
      <c r="M140" s="607" t="s">
        <v>2237</v>
      </c>
    </row>
    <row r="141" spans="2:18" s="607" customFormat="1" ht="15.75" customHeight="1">
      <c r="B141" s="617" t="str">
        <f t="shared" si="2"/>
        <v>Average Luminance Target (Lav)</v>
      </c>
      <c r="C141" s="601" t="s">
        <v>357</v>
      </c>
      <c r="D141" s="601" t="s">
        <v>665</v>
      </c>
      <c r="E141" s="602" t="s">
        <v>900</v>
      </c>
      <c r="F141" s="662" t="s">
        <v>2911</v>
      </c>
      <c r="G141" s="616"/>
      <c r="H141" s="655"/>
      <c r="J141" s="607" t="s">
        <v>2238</v>
      </c>
      <c r="L141" s="607" t="s">
        <v>2239</v>
      </c>
      <c r="M141" s="607" t="s">
        <v>2240</v>
      </c>
    </row>
    <row r="142" spans="2:18" s="607" customFormat="1" ht="15.75" customHeight="1">
      <c r="B142" s="617" t="str">
        <f t="shared" si="2"/>
        <v>Calculation Assumptions per:</v>
      </c>
      <c r="C142" s="601" t="s">
        <v>213</v>
      </c>
      <c r="D142" s="601" t="s">
        <v>688</v>
      </c>
      <c r="E142" s="602" t="s">
        <v>1558</v>
      </c>
      <c r="F142" s="662" t="s">
        <v>2912</v>
      </c>
      <c r="G142" s="616"/>
      <c r="H142" s="655"/>
    </row>
    <row r="143" spans="2:18" s="607" customFormat="1" ht="15.75" customHeight="1">
      <c r="B143" s="617" t="str">
        <f t="shared" si="2"/>
        <v>calculation method</v>
      </c>
      <c r="C143" s="601" t="s">
        <v>218</v>
      </c>
      <c r="D143" s="601" t="s">
        <v>689</v>
      </c>
      <c r="E143" s="602" t="s">
        <v>901</v>
      </c>
      <c r="F143" s="662" t="s">
        <v>2913</v>
      </c>
      <c r="G143" s="616"/>
      <c r="H143" s="655"/>
    </row>
    <row r="144" spans="2:18" s="607" customFormat="1" ht="15.75" customHeight="1">
      <c r="B144" s="617" t="str">
        <f t="shared" si="2"/>
        <v>cd/m2</v>
      </c>
      <c r="C144" s="601" t="s">
        <v>186</v>
      </c>
      <c r="D144" s="601" t="s">
        <v>186</v>
      </c>
      <c r="E144" s="602" t="s">
        <v>186</v>
      </c>
      <c r="F144" s="662" t="s">
        <v>2914</v>
      </c>
      <c r="G144" s="616"/>
      <c r="H144" s="655"/>
      <c r="J144" s="607" t="s">
        <v>2241</v>
      </c>
      <c r="L144" s="607" t="s">
        <v>2242</v>
      </c>
    </row>
    <row r="145" spans="2:22" s="607" customFormat="1" ht="15.75" customHeight="1">
      <c r="B145" s="617" t="str">
        <f t="shared" si="2"/>
        <v>Collector</v>
      </c>
      <c r="C145" s="601" t="s">
        <v>148</v>
      </c>
      <c r="D145" s="601" t="s">
        <v>690</v>
      </c>
      <c r="E145" s="602" t="s">
        <v>902</v>
      </c>
      <c r="F145" s="663" t="s">
        <v>2915</v>
      </c>
      <c r="G145" s="616"/>
      <c r="H145" s="655"/>
      <c r="J145" s="607" t="s">
        <v>2243</v>
      </c>
      <c r="L145" s="607" t="s">
        <v>2244</v>
      </c>
      <c r="M145" s="607" t="s">
        <v>2245</v>
      </c>
    </row>
    <row r="146" spans="2:22" s="607" customFormat="1" ht="15.75" customHeight="1">
      <c r="B146" s="617" t="str">
        <f t="shared" si="2"/>
        <v>Dry</v>
      </c>
      <c r="C146" s="601" t="s">
        <v>167</v>
      </c>
      <c r="D146" s="601" t="s">
        <v>691</v>
      </c>
      <c r="E146" s="602" t="s">
        <v>903</v>
      </c>
      <c r="F146" s="661" t="s">
        <v>2916</v>
      </c>
      <c r="G146" s="616"/>
      <c r="H146" s="655"/>
      <c r="J146" s="607" t="s">
        <v>2246</v>
      </c>
    </row>
    <row r="147" spans="2:22" s="607" customFormat="1" ht="15.75" customHeight="1">
      <c r="B147" s="617" t="str">
        <f t="shared" si="2"/>
        <v>Expressway</v>
      </c>
      <c r="C147" s="601" t="s">
        <v>140</v>
      </c>
      <c r="D147" s="601" t="s">
        <v>692</v>
      </c>
      <c r="E147" s="602" t="s">
        <v>1559</v>
      </c>
      <c r="F147" s="663" t="s">
        <v>2917</v>
      </c>
      <c r="G147" s="616"/>
      <c r="H147" s="655"/>
      <c r="J147" s="607" t="s">
        <v>2247</v>
      </c>
      <c r="L147" s="607" t="s">
        <v>2248</v>
      </c>
      <c r="M147" s="607" t="s">
        <v>2249</v>
      </c>
    </row>
    <row r="148" spans="2:22" s="607" customFormat="1" ht="15.75" customHeight="1">
      <c r="B148" s="617" t="str">
        <f t="shared" si="2"/>
        <v>Freeway Class A</v>
      </c>
      <c r="C148" s="601" t="s">
        <v>135</v>
      </c>
      <c r="D148" s="601" t="s">
        <v>693</v>
      </c>
      <c r="E148" s="602" t="s">
        <v>904</v>
      </c>
      <c r="F148" s="663" t="s">
        <v>2918</v>
      </c>
      <c r="G148" s="616"/>
      <c r="H148" s="655"/>
      <c r="J148" s="607" t="s">
        <v>2250</v>
      </c>
      <c r="L148" s="607" t="s">
        <v>2251</v>
      </c>
    </row>
    <row r="149" spans="2:22" s="607" customFormat="1" ht="15.75" customHeight="1">
      <c r="B149" s="617" t="str">
        <f t="shared" si="2"/>
        <v>Freeway Class B</v>
      </c>
      <c r="C149" s="601" t="s">
        <v>137</v>
      </c>
      <c r="D149" s="601" t="s">
        <v>694</v>
      </c>
      <c r="E149" s="602" t="s">
        <v>905</v>
      </c>
      <c r="F149" s="661" t="s">
        <v>2919</v>
      </c>
      <c r="G149" s="616"/>
      <c r="H149" s="655"/>
      <c r="J149" s="607" t="s">
        <v>2252</v>
      </c>
      <c r="L149" s="607" t="s">
        <v>2253</v>
      </c>
    </row>
    <row r="150" spans="2:22" s="607" customFormat="1" ht="15.75" customHeight="1">
      <c r="B150" s="617" t="str">
        <f t="shared" si="2"/>
        <v>High</v>
      </c>
      <c r="C150" s="601" t="s">
        <v>134</v>
      </c>
      <c r="D150" s="601" t="s">
        <v>695</v>
      </c>
      <c r="E150" s="602" t="s">
        <v>906</v>
      </c>
      <c r="F150" s="661" t="s">
        <v>2920</v>
      </c>
      <c r="G150" s="616"/>
      <c r="H150" s="655"/>
      <c r="J150" s="607" t="s">
        <v>2254</v>
      </c>
      <c r="L150" s="607" t="s">
        <v>2255</v>
      </c>
      <c r="M150" s="607" t="s">
        <v>2256</v>
      </c>
      <c r="N150" s="607" t="s">
        <v>2257</v>
      </c>
      <c r="O150" s="607" t="s">
        <v>2258</v>
      </c>
      <c r="P150" s="607" t="s">
        <v>2259</v>
      </c>
      <c r="Q150" s="607" t="s">
        <v>2260</v>
      </c>
      <c r="R150" s="607" t="s">
        <v>2261</v>
      </c>
      <c r="S150" s="607" t="s">
        <v>2262</v>
      </c>
      <c r="T150" s="607" t="s">
        <v>2263</v>
      </c>
      <c r="U150" s="607" t="s">
        <v>2264</v>
      </c>
      <c r="V150" s="607" t="s">
        <v>2265</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358</v>
      </c>
      <c r="D151" s="601" t="s">
        <v>1920</v>
      </c>
      <c r="E151" s="602" t="s">
        <v>1560</v>
      </c>
      <c r="F151" s="662" t="s">
        <v>2921</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215</v>
      </c>
      <c r="D152" s="601" t="s">
        <v>1921</v>
      </c>
      <c r="E152" s="602" t="s">
        <v>1561</v>
      </c>
      <c r="F152" s="661" t="s">
        <v>2922</v>
      </c>
      <c r="G152" s="616"/>
      <c r="H152" s="655"/>
      <c r="J152" s="607" t="s">
        <v>2266</v>
      </c>
    </row>
    <row r="153" spans="2:22" s="607" customFormat="1" ht="15.75" customHeight="1">
      <c r="B153" s="617" t="str">
        <f t="shared" si="2"/>
        <v>Illuminance Method</v>
      </c>
      <c r="C153" s="601" t="s">
        <v>212</v>
      </c>
      <c r="D153" s="601" t="s">
        <v>696</v>
      </c>
      <c r="E153" s="602" t="s">
        <v>907</v>
      </c>
      <c r="F153" s="661" t="s">
        <v>2923</v>
      </c>
      <c r="G153" s="616"/>
      <c r="H153" s="655"/>
      <c r="J153" s="607" t="s">
        <v>2267</v>
      </c>
    </row>
    <row r="154" spans="2:22" s="607" customFormat="1" ht="15.75" customHeight="1">
      <c r="B154" s="617" t="str">
        <f t="shared" si="2"/>
        <v>Illuminance Target (Iavg)</v>
      </c>
      <c r="C154" s="601" t="s">
        <v>359</v>
      </c>
      <c r="D154" s="601" t="s">
        <v>697</v>
      </c>
      <c r="E154" s="602" t="s">
        <v>908</v>
      </c>
      <c r="F154" s="661" t="s">
        <v>2924</v>
      </c>
      <c r="G154" s="616"/>
      <c r="H154" s="655"/>
      <c r="J154" s="607" t="s">
        <v>2268</v>
      </c>
    </row>
    <row r="155" spans="2:22" s="607" customFormat="1" ht="15.75" customHeight="1">
      <c r="B155" s="617" t="str">
        <f t="shared" si="2"/>
        <v>International Commission on Illumination (CIE)</v>
      </c>
      <c r="C155" s="601" t="s">
        <v>189</v>
      </c>
      <c r="D155" s="601" t="s">
        <v>698</v>
      </c>
      <c r="E155" s="602" t="s">
        <v>909</v>
      </c>
      <c r="F155" s="661" t="s">
        <v>2925</v>
      </c>
      <c r="G155" s="616"/>
      <c r="H155" s="655"/>
      <c r="J155" s="607" t="s">
        <v>2269</v>
      </c>
    </row>
    <row r="156" spans="2:22" s="607" customFormat="1" ht="15.75" customHeight="1">
      <c r="B156" s="617" t="str">
        <f t="shared" si="2"/>
        <v>Illumination Engineering Society of North America (IESNA)</v>
      </c>
      <c r="C156" s="601" t="s">
        <v>1661</v>
      </c>
      <c r="D156" s="601" t="s">
        <v>1661</v>
      </c>
      <c r="E156" s="602" t="s">
        <v>910</v>
      </c>
      <c r="F156" s="662" t="s">
        <v>1661</v>
      </c>
      <c r="G156" s="616"/>
      <c r="H156" s="655"/>
      <c r="J156" s="607" t="s">
        <v>2270</v>
      </c>
    </row>
    <row r="157" spans="2:22" s="607" customFormat="1" ht="15.75" customHeight="1">
      <c r="B157" s="617" t="str">
        <f t="shared" si="2"/>
        <v>Intersection density</v>
      </c>
      <c r="C157" s="601" t="s">
        <v>154</v>
      </c>
      <c r="D157" s="601" t="s">
        <v>699</v>
      </c>
      <c r="E157" s="602" t="s">
        <v>911</v>
      </c>
      <c r="F157" s="661" t="s">
        <v>2926</v>
      </c>
      <c r="G157" s="616"/>
      <c r="H157" s="655"/>
      <c r="J157" s="607" t="s">
        <v>2271</v>
      </c>
    </row>
    <row r="158" spans="2:22" s="607" customFormat="1" ht="15.75" customHeight="1">
      <c r="B158" s="617" t="str">
        <f t="shared" si="2"/>
        <v>Lighting class</v>
      </c>
      <c r="C158" s="601" t="s">
        <v>163</v>
      </c>
      <c r="D158" s="601" t="s">
        <v>700</v>
      </c>
      <c r="E158" s="602" t="s">
        <v>1562</v>
      </c>
      <c r="F158" s="661" t="s">
        <v>2927</v>
      </c>
      <c r="G158" s="616"/>
      <c r="H158" s="655"/>
      <c r="J158" s="607" t="s">
        <v>2272</v>
      </c>
    </row>
    <row r="159" spans="2:22" s="607" customFormat="1" ht="15.75" customHeight="1">
      <c r="B159" s="617" t="str">
        <f t="shared" si="2"/>
        <v>Local</v>
      </c>
      <c r="C159" s="601" t="s">
        <v>153</v>
      </c>
      <c r="D159" s="601" t="s">
        <v>153</v>
      </c>
      <c r="E159" s="602" t="s">
        <v>153</v>
      </c>
      <c r="F159" s="661" t="s">
        <v>2928</v>
      </c>
      <c r="G159" s="616"/>
      <c r="H159" s="655"/>
      <c r="J159" s="607" t="s">
        <v>2273</v>
      </c>
      <c r="L159" s="607" t="s">
        <v>2274</v>
      </c>
    </row>
    <row r="160" spans="2:22" s="607" customFormat="1" ht="15.75" customHeight="1">
      <c r="B160" s="617" t="str">
        <f t="shared" si="2"/>
        <v>Low</v>
      </c>
      <c r="C160" s="601" t="s">
        <v>142</v>
      </c>
      <c r="D160" s="601" t="s">
        <v>701</v>
      </c>
      <c r="E160" s="602" t="s">
        <v>912</v>
      </c>
      <c r="F160" s="661" t="s">
        <v>2929</v>
      </c>
      <c r="G160" s="616"/>
      <c r="H160" s="655"/>
      <c r="J160" s="607" t="s">
        <v>2275</v>
      </c>
      <c r="L160" s="607" t="s">
        <v>2276</v>
      </c>
      <c r="M160" s="607" t="s">
        <v>2277</v>
      </c>
      <c r="N160" s="607" t="s">
        <v>2278</v>
      </c>
      <c r="O160" s="607" t="s">
        <v>2279</v>
      </c>
      <c r="P160" s="607" t="s">
        <v>2280</v>
      </c>
      <c r="Q160" s="607" t="s">
        <v>2281</v>
      </c>
      <c r="R160" s="607" t="s">
        <v>2282</v>
      </c>
      <c r="S160" s="607" t="s">
        <v>2283</v>
      </c>
      <c r="T160" s="607" t="s">
        <v>2284</v>
      </c>
    </row>
    <row r="161" spans="2:14" s="607" customFormat="1" ht="15.75" customHeight="1">
      <c r="B161" s="617" t="str">
        <f t="shared" si="2"/>
        <v>Luminance Method</v>
      </c>
      <c r="C161" s="601" t="s">
        <v>1726</v>
      </c>
      <c r="D161" s="601" t="s">
        <v>1739</v>
      </c>
      <c r="E161" s="602" t="s">
        <v>1740</v>
      </c>
      <c r="F161" s="661" t="s">
        <v>2930</v>
      </c>
      <c r="G161" s="616"/>
      <c r="H161" s="655"/>
    </row>
    <row r="162" spans="2:14" s="607" customFormat="1" ht="15.75" customHeight="1">
      <c r="B162" s="617" t="str">
        <f t="shared" si="2"/>
        <v>Luminance Method for IES Standard</v>
      </c>
      <c r="C162" s="601" t="s">
        <v>1266</v>
      </c>
      <c r="D162" s="601" t="s">
        <v>1355</v>
      </c>
      <c r="E162" s="602" t="s">
        <v>1563</v>
      </c>
      <c r="F162" s="663" t="s">
        <v>2931</v>
      </c>
      <c r="G162" s="616"/>
      <c r="H162" s="655"/>
      <c r="J162" s="607" t="s">
        <v>2285</v>
      </c>
      <c r="L162" s="607" t="s">
        <v>2286</v>
      </c>
    </row>
    <row r="163" spans="2:14" s="607" customFormat="1" ht="15.75" customHeight="1">
      <c r="B163" s="617" t="str">
        <f t="shared" si="2"/>
        <v>Luminance Method for CIE Standard</v>
      </c>
      <c r="C163" s="601" t="s">
        <v>1267</v>
      </c>
      <c r="D163" s="601" t="s">
        <v>1356</v>
      </c>
      <c r="E163" s="602" t="s">
        <v>1564</v>
      </c>
      <c r="F163" s="663" t="s">
        <v>2932</v>
      </c>
      <c r="G163" s="616"/>
      <c r="H163" s="655"/>
      <c r="J163" s="607" t="s">
        <v>2287</v>
      </c>
    </row>
    <row r="164" spans="2:14" s="607" customFormat="1" ht="15.75" customHeight="1">
      <c r="B164" s="617" t="str">
        <f t="shared" si="2"/>
        <v>Lux</v>
      </c>
      <c r="C164" s="601" t="s">
        <v>18</v>
      </c>
      <c r="D164" s="601" t="s">
        <v>18</v>
      </c>
      <c r="E164" s="602" t="s">
        <v>18</v>
      </c>
      <c r="F164" s="661" t="s">
        <v>2933</v>
      </c>
      <c r="G164" s="616"/>
      <c r="H164" s="655"/>
      <c r="J164" s="607" t="s">
        <v>2288</v>
      </c>
      <c r="L164" s="607" t="s">
        <v>2289</v>
      </c>
    </row>
    <row r="165" spans="2:14" s="607" customFormat="1" ht="15.75" customHeight="1">
      <c r="B165" s="617" t="str">
        <f t="shared" si="2"/>
        <v>Major</v>
      </c>
      <c r="C165" s="601" t="s">
        <v>143</v>
      </c>
      <c r="D165" s="601" t="s">
        <v>702</v>
      </c>
      <c r="E165" s="602" t="s">
        <v>913</v>
      </c>
      <c r="F165" s="663" t="s">
        <v>2934</v>
      </c>
      <c r="G165" s="616"/>
      <c r="H165" s="655"/>
      <c r="J165" s="607" t="s">
        <v>2290</v>
      </c>
      <c r="L165" s="607" t="s">
        <v>2291</v>
      </c>
    </row>
    <row r="166" spans="2:14" s="607" customFormat="1" ht="15.75" customHeight="1">
      <c r="B166" s="617" t="str">
        <f t="shared" si="2"/>
        <v>Mixed</v>
      </c>
      <c r="C166" s="601" t="s">
        <v>147</v>
      </c>
      <c r="D166" s="601" t="s">
        <v>703</v>
      </c>
      <c r="E166" s="602" t="s">
        <v>914</v>
      </c>
      <c r="F166" s="661" t="s">
        <v>2935</v>
      </c>
      <c r="G166" s="616"/>
      <c r="H166" s="655"/>
      <c r="J166" s="607" t="s">
        <v>2292</v>
      </c>
    </row>
    <row r="167" spans="2:14" s="607" customFormat="1" ht="15.75" customHeight="1">
      <c r="B167" s="617" t="str">
        <f t="shared" si="2"/>
        <v>Mixed with high % non motorized</v>
      </c>
      <c r="C167" s="601" t="s">
        <v>146</v>
      </c>
      <c r="D167" s="601" t="s">
        <v>704</v>
      </c>
      <c r="E167" s="602" t="s">
        <v>915</v>
      </c>
      <c r="F167" s="661" t="s">
        <v>2936</v>
      </c>
      <c r="G167" s="616"/>
      <c r="H167" s="655"/>
      <c r="J167" s="607" t="s">
        <v>2293</v>
      </c>
    </row>
    <row r="168" spans="2:14" s="607" customFormat="1" ht="15.75" customHeight="1">
      <c r="B168" s="617" t="str">
        <f t="shared" si="2"/>
        <v>Moderate</v>
      </c>
      <c r="C168" s="601" t="s">
        <v>136</v>
      </c>
      <c r="D168" s="601" t="s">
        <v>705</v>
      </c>
      <c r="E168" s="602" t="s">
        <v>916</v>
      </c>
      <c r="F168" s="661" t="s">
        <v>2937</v>
      </c>
      <c r="G168" s="616"/>
      <c r="H168" s="655"/>
      <c r="J168" s="607" t="s">
        <v>2294</v>
      </c>
      <c r="L168" s="607" t="s">
        <v>2295</v>
      </c>
      <c r="M168" s="607" t="s">
        <v>2296</v>
      </c>
      <c r="N168" s="607" t="s">
        <v>2297</v>
      </c>
    </row>
    <row r="169" spans="2:14" s="607" customFormat="1" ht="15.75" customHeight="1">
      <c r="B169" s="617" t="str">
        <f t="shared" si="2"/>
        <v>Moderate or Good</v>
      </c>
      <c r="C169" s="601" t="s">
        <v>161</v>
      </c>
      <c r="D169" s="601" t="s">
        <v>706</v>
      </c>
      <c r="E169" s="602" t="s">
        <v>917</v>
      </c>
      <c r="F169" s="661" t="s">
        <v>2938</v>
      </c>
      <c r="G169" s="616"/>
      <c r="H169" s="655"/>
      <c r="J169" s="607" t="s">
        <v>2298</v>
      </c>
    </row>
    <row r="170" spans="2:14" s="607" customFormat="1" ht="15.75" customHeight="1">
      <c r="B170" s="617" t="str">
        <f t="shared" si="2"/>
        <v>Motorized only</v>
      </c>
      <c r="C170" s="601" t="s">
        <v>149</v>
      </c>
      <c r="D170" s="601" t="s">
        <v>707</v>
      </c>
      <c r="E170" s="602" t="s">
        <v>918</v>
      </c>
      <c r="F170" s="661" t="s">
        <v>2939</v>
      </c>
      <c r="G170" s="616"/>
      <c r="H170" s="655"/>
      <c r="J170" s="607" t="s">
        <v>2299</v>
      </c>
    </row>
    <row r="171" spans="2:14" s="607" customFormat="1" ht="15.75" customHeight="1">
      <c r="B171" s="617" t="str">
        <f t="shared" si="2"/>
        <v>No</v>
      </c>
      <c r="C171" s="601" t="s">
        <v>151</v>
      </c>
      <c r="D171" s="601" t="s">
        <v>708</v>
      </c>
      <c r="E171" s="602" t="s">
        <v>151</v>
      </c>
      <c r="F171" s="662" t="s">
        <v>2940</v>
      </c>
      <c r="G171" s="616"/>
      <c r="H171" s="655"/>
      <c r="J171" s="607" t="s">
        <v>2300</v>
      </c>
    </row>
    <row r="172" spans="2:14" s="607" customFormat="1" ht="15.75" customHeight="1">
      <c r="B172" s="617" t="str">
        <f t="shared" si="2"/>
        <v>Not present</v>
      </c>
      <c r="C172" s="601" t="s">
        <v>157</v>
      </c>
      <c r="D172" s="601" t="s">
        <v>709</v>
      </c>
      <c r="E172" s="602" t="s">
        <v>919</v>
      </c>
      <c r="F172" s="661" t="s">
        <v>2941</v>
      </c>
      <c r="G172" s="616"/>
      <c r="H172" s="655"/>
      <c r="J172" s="607" t="s">
        <v>2301</v>
      </c>
    </row>
    <row r="173" spans="2:14" s="607" customFormat="1" ht="15.75" customHeight="1">
      <c r="B173" s="617" t="str">
        <f t="shared" si="2"/>
        <v>Note CIE Uo is the inverse of IES Uo; value should be IES method, greater than one</v>
      </c>
      <c r="C173" s="601" t="s">
        <v>315</v>
      </c>
      <c r="D173" s="601" t="s">
        <v>710</v>
      </c>
      <c r="E173" s="602" t="s">
        <v>920</v>
      </c>
      <c r="F173" s="661" t="s">
        <v>2942</v>
      </c>
      <c r="G173" s="616"/>
      <c r="H173" s="655"/>
    </row>
    <row r="174" spans="2:14" s="607" customFormat="1" ht="15.75" customHeight="1">
      <c r="B174" s="617" t="str">
        <f t="shared" si="2"/>
        <v>Options</v>
      </c>
      <c r="C174" s="601" t="s">
        <v>127</v>
      </c>
      <c r="D174" s="601" t="s">
        <v>127</v>
      </c>
      <c r="E174" s="602" t="s">
        <v>921</v>
      </c>
      <c r="F174" s="661" t="s">
        <v>2943</v>
      </c>
      <c r="G174" s="616"/>
      <c r="H174" s="655"/>
      <c r="J174" s="607" t="s">
        <v>2302</v>
      </c>
    </row>
    <row r="175" spans="2:14" s="607" customFormat="1" ht="15.75" customHeight="1">
      <c r="B175" s="617" t="str">
        <f t="shared" si="2"/>
        <v>Uniformity Ratio (Lavg/Lmin)</v>
      </c>
      <c r="C175" s="601" t="s">
        <v>1145</v>
      </c>
      <c r="D175" s="601" t="s">
        <v>1146</v>
      </c>
      <c r="E175" s="602" t="s">
        <v>1147</v>
      </c>
      <c r="F175" s="663" t="s">
        <v>2944</v>
      </c>
      <c r="G175" s="616"/>
      <c r="H175" s="655"/>
      <c r="J175" s="607" t="s">
        <v>2303</v>
      </c>
      <c r="L175" s="607" t="s">
        <v>2304</v>
      </c>
    </row>
    <row r="176" spans="2:14" s="607" customFormat="1" ht="15.75" customHeight="1">
      <c r="B176" s="617" t="str">
        <f t="shared" si="2"/>
        <v>Uniformity Ratio (Lmax/Lmin)</v>
      </c>
      <c r="C176" s="601" t="s">
        <v>1191</v>
      </c>
      <c r="D176" s="601" t="s">
        <v>1192</v>
      </c>
      <c r="E176" s="602" t="s">
        <v>1565</v>
      </c>
      <c r="F176" s="663" t="s">
        <v>2945</v>
      </c>
      <c r="G176" s="616"/>
      <c r="H176" s="655"/>
      <c r="J176" s="607" t="s">
        <v>2305</v>
      </c>
      <c r="L176" s="607" t="s">
        <v>2306</v>
      </c>
    </row>
    <row r="177" spans="2:13" s="607" customFormat="1" ht="15.75" customHeight="1">
      <c r="B177" s="617" t="str">
        <f t="shared" si="2"/>
        <v>Parameter</v>
      </c>
      <c r="C177" s="601" t="s">
        <v>126</v>
      </c>
      <c r="D177" s="601" t="s">
        <v>711</v>
      </c>
      <c r="E177" s="602" t="s">
        <v>922</v>
      </c>
      <c r="F177" s="661" t="s">
        <v>2946</v>
      </c>
      <c r="G177" s="616"/>
      <c r="H177" s="655"/>
      <c r="J177" s="607" t="s">
        <v>2307</v>
      </c>
    </row>
    <row r="178" spans="2:13" s="607" customFormat="1" ht="15.75" customHeight="1">
      <c r="B178" s="617" t="str">
        <f t="shared" si="2"/>
        <v>Parked Vehicles</v>
      </c>
      <c r="C178" s="601" t="s">
        <v>155</v>
      </c>
      <c r="D178" s="601" t="s">
        <v>712</v>
      </c>
      <c r="E178" s="602" t="s">
        <v>923</v>
      </c>
      <c r="F178" s="663" t="s">
        <v>2947</v>
      </c>
      <c r="G178" s="616"/>
      <c r="H178" s="655"/>
      <c r="J178" s="607" t="s">
        <v>2308</v>
      </c>
    </row>
    <row r="179" spans="2:13" s="607" customFormat="1" ht="15.75" customHeight="1">
      <c r="B179" s="617" t="str">
        <f t="shared" si="2"/>
        <v>Pavement Classification
(Minimum Maintained Average Values)</v>
      </c>
      <c r="C179" s="601" t="s">
        <v>360</v>
      </c>
      <c r="D179" s="601" t="s">
        <v>713</v>
      </c>
      <c r="E179" s="602" t="s">
        <v>1566</v>
      </c>
      <c r="F179" s="662" t="s">
        <v>2948</v>
      </c>
      <c r="G179" s="616"/>
      <c r="H179" s="655"/>
      <c r="J179" s="607" t="s">
        <v>2309</v>
      </c>
    </row>
    <row r="180" spans="2:13" s="607" customFormat="1" ht="15.75" customHeight="1">
      <c r="B180" s="617" t="str">
        <f t="shared" si="2"/>
        <v>Pedestrian Conflict Areas</v>
      </c>
      <c r="C180" s="601" t="s">
        <v>131</v>
      </c>
      <c r="D180" s="601" t="s">
        <v>714</v>
      </c>
      <c r="E180" s="602" t="s">
        <v>924</v>
      </c>
      <c r="F180" s="661" t="s">
        <v>2949</v>
      </c>
      <c r="G180" s="616"/>
      <c r="H180" s="655"/>
      <c r="J180" s="607" t="s">
        <v>2310</v>
      </c>
      <c r="L180" s="607" t="s">
        <v>2311</v>
      </c>
    </row>
    <row r="181" spans="2:13" s="607" customFormat="1" ht="15.75" customHeight="1">
      <c r="B181" s="617" t="str">
        <f t="shared" si="2"/>
        <v>Poor</v>
      </c>
      <c r="C181" s="601" t="s">
        <v>160</v>
      </c>
      <c r="D181" s="601" t="s">
        <v>701</v>
      </c>
      <c r="E181" s="602" t="s">
        <v>925</v>
      </c>
      <c r="F181" s="661" t="s">
        <v>2950</v>
      </c>
      <c r="G181" s="616"/>
      <c r="H181" s="655"/>
      <c r="J181" s="607" t="s">
        <v>2312</v>
      </c>
    </row>
    <row r="182" spans="2:13" s="607" customFormat="1" ht="15.75" customHeight="1">
      <c r="B182" s="617" t="str">
        <f t="shared" si="2"/>
        <v>Present</v>
      </c>
      <c r="C182" s="601" t="s">
        <v>156</v>
      </c>
      <c r="D182" s="601" t="s">
        <v>715</v>
      </c>
      <c r="E182" s="602" t="s">
        <v>926</v>
      </c>
      <c r="F182" s="661" t="s">
        <v>2951</v>
      </c>
      <c r="G182" s="616"/>
      <c r="H182" s="655"/>
      <c r="J182" s="607" t="s">
        <v>2313</v>
      </c>
    </row>
    <row r="183" spans="2:13" s="607" customFormat="1" ht="15.75" customHeight="1">
      <c r="B183" s="617" t="str">
        <f t="shared" si="2"/>
        <v>Road</v>
      </c>
      <c r="C183" s="601" t="s">
        <v>130</v>
      </c>
      <c r="D183" s="601" t="s">
        <v>716</v>
      </c>
      <c r="E183" s="602" t="s">
        <v>1567</v>
      </c>
      <c r="F183" s="661" t="s">
        <v>2952</v>
      </c>
      <c r="G183" s="616"/>
      <c r="H183" s="655"/>
      <c r="J183" s="607" t="s">
        <v>2314</v>
      </c>
      <c r="L183" s="607" t="s">
        <v>2315</v>
      </c>
    </row>
    <row r="184" spans="2:13" s="607" customFormat="1" ht="15.75" customHeight="1">
      <c r="B184" s="617" t="str">
        <f t="shared" si="2"/>
        <v>Road and Pedestrian Conflict Area</v>
      </c>
      <c r="C184" s="601" t="s">
        <v>125</v>
      </c>
      <c r="D184" s="601" t="s">
        <v>717</v>
      </c>
      <c r="E184" s="602" t="s">
        <v>927</v>
      </c>
      <c r="F184" s="661" t="s">
        <v>2953</v>
      </c>
      <c r="G184" s="616"/>
      <c r="H184" s="655"/>
      <c r="J184" s="607" t="s">
        <v>2316</v>
      </c>
      <c r="L184" s="607" t="s">
        <v>2317</v>
      </c>
    </row>
    <row r="185" spans="2:13" s="607" customFormat="1" ht="15.75" customHeight="1">
      <c r="B185" s="617" t="str">
        <f t="shared" si="2"/>
        <v>Road Surface</v>
      </c>
      <c r="C185" s="601" t="s">
        <v>164</v>
      </c>
      <c r="D185" s="601" t="s">
        <v>718</v>
      </c>
      <c r="E185" s="602" t="s">
        <v>928</v>
      </c>
      <c r="F185" s="661" t="s">
        <v>2954</v>
      </c>
      <c r="G185" s="616"/>
      <c r="H185" s="655"/>
      <c r="J185" s="607" t="s">
        <v>2318</v>
      </c>
    </row>
    <row r="186" spans="2:13" s="607" customFormat="1" ht="15.75" customHeight="1">
      <c r="B186" s="617" t="str">
        <f t="shared" si="2"/>
        <v>Road Surface Type</v>
      </c>
      <c r="C186" s="601" t="s">
        <v>200</v>
      </c>
      <c r="D186" s="601" t="s">
        <v>719</v>
      </c>
      <c r="E186" s="602" t="s">
        <v>929</v>
      </c>
      <c r="F186" s="661" t="s">
        <v>2955</v>
      </c>
      <c r="G186" s="616"/>
      <c r="H186" s="655"/>
      <c r="J186" s="607" t="s">
        <v>2319</v>
      </c>
      <c r="L186" s="607" t="s">
        <v>2320</v>
      </c>
      <c r="M186" s="607" t="s">
        <v>2321</v>
      </c>
    </row>
    <row r="187" spans="2:13" s="607" customFormat="1" ht="15.75" customHeight="1">
      <c r="B187" s="617" t="str">
        <f t="shared" si="2"/>
        <v xml:space="preserve">Separation of carriageways
</v>
      </c>
      <c r="C187" s="601" t="s">
        <v>150</v>
      </c>
      <c r="D187" s="601" t="s">
        <v>720</v>
      </c>
      <c r="E187" s="602" t="s">
        <v>930</v>
      </c>
      <c r="F187" s="661" t="s">
        <v>2956</v>
      </c>
      <c r="G187" s="616"/>
      <c r="H187" s="655"/>
      <c r="J187" s="607" t="s">
        <v>2322</v>
      </c>
    </row>
    <row r="188" spans="2:13" s="607" customFormat="1" ht="15.75" customHeight="1">
      <c r="B188" s="617" t="str">
        <f t="shared" si="2"/>
        <v>Speed</v>
      </c>
      <c r="C188" s="601" t="s">
        <v>132</v>
      </c>
      <c r="D188" s="601" t="s">
        <v>721</v>
      </c>
      <c r="E188" s="602" t="s">
        <v>931</v>
      </c>
      <c r="F188" s="662" t="s">
        <v>2957</v>
      </c>
      <c r="G188" s="616"/>
      <c r="H188" s="655"/>
      <c r="J188" s="607" t="s">
        <v>2323</v>
      </c>
    </row>
    <row r="189" spans="2:13" s="607" customFormat="1" ht="15.75" customHeight="1">
      <c r="B189" s="617" t="str">
        <f t="shared" si="2"/>
        <v>Standard Surface</v>
      </c>
      <c r="C189" s="601" t="s">
        <v>202</v>
      </c>
      <c r="D189" s="601" t="s">
        <v>722</v>
      </c>
      <c r="E189" s="602" t="s">
        <v>932</v>
      </c>
      <c r="F189" s="661" t="s">
        <v>2958</v>
      </c>
      <c r="G189" s="616"/>
      <c r="H189" s="655"/>
      <c r="J189" s="607" t="s">
        <v>2324</v>
      </c>
    </row>
    <row r="190" spans="2:13" s="607" customFormat="1" ht="15.75" customHeight="1">
      <c r="B190" s="617" t="str">
        <f t="shared" si="2"/>
        <v>Surround ratio</v>
      </c>
      <c r="C190" s="601" t="s">
        <v>166</v>
      </c>
      <c r="D190" s="601" t="s">
        <v>723</v>
      </c>
      <c r="E190" s="602" t="s">
        <v>933</v>
      </c>
      <c r="F190" s="661" t="s">
        <v>2959</v>
      </c>
      <c r="G190" s="616"/>
      <c r="H190" s="655"/>
      <c r="J190" s="607" t="s">
        <v>2325</v>
      </c>
    </row>
    <row r="191" spans="2:13" s="607" customFormat="1" ht="15.75" customHeight="1">
      <c r="B191" s="617" t="str">
        <f t="shared" si="2"/>
        <v>Table 1: IESNA Illuminance Method - Recommended Values</v>
      </c>
      <c r="C191" s="601" t="s">
        <v>123</v>
      </c>
      <c r="D191" s="601" t="s">
        <v>724</v>
      </c>
      <c r="E191" s="602" t="s">
        <v>934</v>
      </c>
      <c r="F191" s="661" t="s">
        <v>2960</v>
      </c>
      <c r="G191" s="616"/>
      <c r="H191" s="655"/>
      <c r="J191" s="607" t="s">
        <v>2326</v>
      </c>
    </row>
    <row r="192" spans="2:13" s="607" customFormat="1" ht="15.75" customHeight="1">
      <c r="B192" s="617" t="str">
        <f t="shared" si="2"/>
        <v>Table 2: CIE Parameters for the Selection of M Lighting Class</v>
      </c>
      <c r="C192" s="601" t="s">
        <v>124</v>
      </c>
      <c r="D192" s="601" t="s">
        <v>725</v>
      </c>
      <c r="E192" s="602" t="s">
        <v>935</v>
      </c>
      <c r="F192" s="661" t="s">
        <v>2961</v>
      </c>
      <c r="G192" s="616"/>
      <c r="H192" s="655"/>
      <c r="J192" s="607" t="s">
        <v>2327</v>
      </c>
    </row>
    <row r="193" spans="2:14" s="607" customFormat="1" ht="15.75" customHeight="1">
      <c r="B193" s="617" t="str">
        <f t="shared" si="2"/>
        <v>Table 3: CIE Lighting classes for motorized traffic</v>
      </c>
      <c r="C193" s="601" t="s">
        <v>162</v>
      </c>
      <c r="D193" s="601" t="s">
        <v>726</v>
      </c>
      <c r="E193" s="602" t="s">
        <v>936</v>
      </c>
      <c r="F193" s="661" t="s">
        <v>2962</v>
      </c>
      <c r="G193" s="616"/>
      <c r="H193" s="655"/>
      <c r="J193" s="607" t="s">
        <v>2328</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179</v>
      </c>
      <c r="D194" s="601" t="s">
        <v>727</v>
      </c>
      <c r="E194" s="602" t="s">
        <v>937</v>
      </c>
      <c r="F194" s="661" t="s">
        <v>2963</v>
      </c>
      <c r="G194" s="616"/>
      <c r="H194" s="655"/>
      <c r="J194" s="607" t="s">
        <v>2329</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180</v>
      </c>
      <c r="D195" s="601" t="s">
        <v>728</v>
      </c>
      <c r="E195" s="602" t="s">
        <v>938</v>
      </c>
      <c r="F195" s="661" t="s">
        <v>2964</v>
      </c>
      <c r="G195" s="616"/>
      <c r="H195" s="655"/>
      <c r="J195" s="607" t="s">
        <v>2330</v>
      </c>
    </row>
    <row r="196" spans="2:14" s="607" customFormat="1" ht="15.75" customHeight="1">
      <c r="B196" s="617" t="str">
        <f t="shared" si="2"/>
        <v>Threshold increment</v>
      </c>
      <c r="C196" s="601" t="s">
        <v>165</v>
      </c>
      <c r="D196" s="601" t="s">
        <v>729</v>
      </c>
      <c r="E196" s="602" t="s">
        <v>939</v>
      </c>
      <c r="F196" s="661" t="s">
        <v>2965</v>
      </c>
      <c r="G196" s="616"/>
      <c r="H196" s="655"/>
      <c r="J196" s="607" t="s">
        <v>2331</v>
      </c>
    </row>
    <row r="197" spans="2:14" s="607" customFormat="1" ht="15.75" customHeight="1">
      <c r="B197" s="617" t="str">
        <f t="shared" si="2"/>
        <v>Traffic Composition</v>
      </c>
      <c r="C197" s="601" t="s">
        <v>145</v>
      </c>
      <c r="D197" s="601" t="s">
        <v>730</v>
      </c>
      <c r="E197" s="602" t="s">
        <v>940</v>
      </c>
      <c r="F197" s="661" t="s">
        <v>2966</v>
      </c>
      <c r="G197" s="616"/>
      <c r="H197" s="655"/>
      <c r="J197" s="607" t="s">
        <v>2332</v>
      </c>
    </row>
    <row r="198" spans="2:14" s="607" customFormat="1" ht="15.75" customHeight="1">
      <c r="B198" s="617" t="str">
        <f t="shared" si="2"/>
        <v>Traffic Volume</v>
      </c>
      <c r="C198" s="601" t="s">
        <v>138</v>
      </c>
      <c r="D198" s="601" t="s">
        <v>731</v>
      </c>
      <c r="E198" s="602" t="s">
        <v>941</v>
      </c>
      <c r="F198" s="661" t="s">
        <v>2967</v>
      </c>
      <c r="G198" s="616"/>
      <c r="H198" s="655"/>
      <c r="J198" s="607" t="s">
        <v>2333</v>
      </c>
    </row>
    <row r="199" spans="2:14" s="607" customFormat="1" ht="15.75" customHeight="1">
      <c r="B199" s="617" t="str">
        <f t="shared" si="2"/>
        <v>Uniformity Ratio Eavg/Emin</v>
      </c>
      <c r="C199" s="601" t="s">
        <v>361</v>
      </c>
      <c r="D199" s="601" t="s">
        <v>732</v>
      </c>
      <c r="E199" s="602" t="s">
        <v>942</v>
      </c>
      <c r="F199" s="663" t="s">
        <v>2968</v>
      </c>
      <c r="G199" s="616"/>
      <c r="H199" s="655"/>
      <c r="J199" s="607" t="s">
        <v>2334</v>
      </c>
    </row>
    <row r="200" spans="2:14" s="607" customFormat="1" ht="15.75" customHeight="1">
      <c r="B200" s="617" t="str">
        <f t="shared" si="2"/>
        <v>unitless</v>
      </c>
      <c r="C200" s="601" t="s">
        <v>183</v>
      </c>
      <c r="D200" s="601" t="s">
        <v>733</v>
      </c>
      <c r="E200" s="602" t="s">
        <v>943</v>
      </c>
      <c r="F200" s="661" t="s">
        <v>2969</v>
      </c>
      <c r="G200" s="616"/>
      <c r="H200" s="655"/>
      <c r="J200" s="607" t="s">
        <v>2335</v>
      </c>
      <c r="L200" s="607" t="s">
        <v>2336</v>
      </c>
      <c r="M200" s="607" t="s">
        <v>2337</v>
      </c>
      <c r="N200" s="607" t="s">
        <v>2338</v>
      </c>
    </row>
    <row r="201" spans="2:14" s="607" customFormat="1" ht="15.75" customHeight="1">
      <c r="B201" s="617" t="str">
        <f t="shared" si="2"/>
        <v>Veiling Luminance Ratio                   Lvmax/Lavg</v>
      </c>
      <c r="C201" s="601" t="s">
        <v>362</v>
      </c>
      <c r="D201" s="601" t="s">
        <v>734</v>
      </c>
      <c r="E201" s="602" t="s">
        <v>1568</v>
      </c>
      <c r="F201" s="663" t="s">
        <v>2970</v>
      </c>
      <c r="G201" s="616"/>
      <c r="H201" s="655"/>
      <c r="J201" s="607" t="s">
        <v>2339</v>
      </c>
    </row>
    <row r="202" spans="2:14" s="607" customFormat="1" ht="15.75" customHeight="1">
      <c r="B202" s="617" t="str">
        <f t="shared" si="2"/>
        <v>Very High</v>
      </c>
      <c r="C202" s="601" t="s">
        <v>133</v>
      </c>
      <c r="D202" s="601" t="s">
        <v>735</v>
      </c>
      <c r="E202" s="602" t="s">
        <v>944</v>
      </c>
      <c r="F202" s="661" t="s">
        <v>2971</v>
      </c>
      <c r="G202" s="616"/>
      <c r="H202" s="655"/>
      <c r="J202" s="607" t="s">
        <v>2340</v>
      </c>
    </row>
    <row r="203" spans="2:14" s="607" customFormat="1" ht="15.75" customHeight="1">
      <c r="B203" s="617" t="str">
        <f t="shared" si="2"/>
        <v>Very Low</v>
      </c>
      <c r="C203" s="601" t="s">
        <v>144</v>
      </c>
      <c r="D203" s="601" t="s">
        <v>736</v>
      </c>
      <c r="E203" s="602" t="s">
        <v>945</v>
      </c>
      <c r="F203" s="661" t="s">
        <v>2972</v>
      </c>
      <c r="G203" s="616"/>
      <c r="H203" s="655"/>
      <c r="J203" s="607" t="s">
        <v>2341</v>
      </c>
    </row>
    <row r="204" spans="2:14" s="607" customFormat="1" ht="15.75" customHeight="1">
      <c r="B204" s="617" t="str">
        <f t="shared" ref="B204:B267" si="3">INDEX(C204:G204,MATCH($B$11,$C$11:$G$11,0))</f>
        <v>View Description of a Standard Below:</v>
      </c>
      <c r="C204" s="601" t="s">
        <v>216</v>
      </c>
      <c r="D204" s="601" t="s">
        <v>737</v>
      </c>
      <c r="E204" s="602" t="s">
        <v>946</v>
      </c>
      <c r="F204" s="661" t="s">
        <v>2973</v>
      </c>
      <c r="G204" s="616"/>
      <c r="H204" s="655"/>
      <c r="J204" s="607" t="s">
        <v>2342</v>
      </c>
    </row>
    <row r="205" spans="2:14" s="607" customFormat="1" ht="15.75" customHeight="1">
      <c r="B205" s="617" t="str">
        <f t="shared" si="3"/>
        <v>Visual guidance/ traffic control</v>
      </c>
      <c r="C205" s="601" t="s">
        <v>159</v>
      </c>
      <c r="D205" s="601" t="s">
        <v>738</v>
      </c>
      <c r="E205" s="602" t="s">
        <v>947</v>
      </c>
      <c r="F205" s="661" t="s">
        <v>2974</v>
      </c>
      <c r="G205" s="616"/>
      <c r="H205" s="655"/>
      <c r="J205" s="607" t="s">
        <v>2343</v>
      </c>
    </row>
    <row r="206" spans="2:14" s="607" customFormat="1" ht="15.75" customHeight="1">
      <c r="B206" s="617" t="str">
        <f t="shared" si="3"/>
        <v>Vw Selected</v>
      </c>
      <c r="C206" s="601" t="s">
        <v>129</v>
      </c>
      <c r="D206" s="601" t="s">
        <v>739</v>
      </c>
      <c r="E206" s="602" t="s">
        <v>948</v>
      </c>
      <c r="F206" s="661" t="s">
        <v>2975</v>
      </c>
      <c r="G206" s="616"/>
      <c r="H206" s="655"/>
      <c r="J206" s="607" t="s">
        <v>2344</v>
      </c>
    </row>
    <row r="207" spans="2:14" s="607" customFormat="1" ht="15.75" customHeight="1">
      <c r="B207" s="617" t="str">
        <f t="shared" si="3"/>
        <v>Weighting Value Vw</v>
      </c>
      <c r="C207" s="601" t="s">
        <v>128</v>
      </c>
      <c r="D207" s="601" t="s">
        <v>740</v>
      </c>
      <c r="E207" s="602" t="s">
        <v>949</v>
      </c>
      <c r="F207" s="661" t="s">
        <v>2976</v>
      </c>
      <c r="G207" s="616"/>
      <c r="H207" s="655"/>
      <c r="J207" s="607" t="s">
        <v>2345</v>
      </c>
    </row>
    <row r="208" spans="2:14" s="607" customFormat="1" ht="15.75" customHeight="1">
      <c r="B208" s="617" t="str">
        <f t="shared" si="3"/>
        <v>Wet*</v>
      </c>
      <c r="C208" s="601" t="s">
        <v>168</v>
      </c>
      <c r="D208" s="601" t="s">
        <v>741</v>
      </c>
      <c r="E208" s="602" t="s">
        <v>950</v>
      </c>
      <c r="F208" s="661" t="s">
        <v>2977</v>
      </c>
      <c r="G208" s="616"/>
      <c r="H208" s="655"/>
      <c r="J208" s="607" t="s">
        <v>2346</v>
      </c>
    </row>
    <row r="209" spans="2:16" s="607" customFormat="1" ht="15.75" customHeight="1">
      <c r="B209" s="617" t="str">
        <f t="shared" si="3"/>
        <v>Yes</v>
      </c>
      <c r="C209" s="601" t="s">
        <v>152</v>
      </c>
      <c r="D209" s="601" t="s">
        <v>742</v>
      </c>
      <c r="E209" s="602" t="s">
        <v>951</v>
      </c>
      <c r="F209" s="662" t="s">
        <v>2978</v>
      </c>
      <c r="G209" s="616"/>
      <c r="H209" s="655"/>
      <c r="J209" s="607" t="s">
        <v>2347</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1922</v>
      </c>
      <c r="D210" s="601" t="s">
        <v>1895</v>
      </c>
      <c r="E210" s="602" t="s">
        <v>1923</v>
      </c>
      <c r="F210" s="662" t="s">
        <v>2979</v>
      </c>
      <c r="G210" s="616"/>
      <c r="H210" s="655"/>
      <c r="J210" s="607" t="s">
        <v>2348</v>
      </c>
    </row>
    <row r="211" spans="2:16" s="607" customFormat="1" ht="15.75" customHeight="1">
      <c r="B211" s="617" t="str">
        <f t="shared" si="3"/>
        <v xml:space="preserve">Design Criteria  Illuminance </v>
      </c>
      <c r="C211" s="601" t="s">
        <v>345</v>
      </c>
      <c r="D211" s="601" t="s">
        <v>743</v>
      </c>
      <c r="E211" s="602" t="s">
        <v>952</v>
      </c>
      <c r="F211" s="662" t="s">
        <v>2980</v>
      </c>
      <c r="G211" s="616"/>
      <c r="H211" s="655"/>
      <c r="J211" s="607" t="s">
        <v>2349</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1924</v>
      </c>
      <c r="D212" s="601" t="s">
        <v>744</v>
      </c>
      <c r="E212" s="602" t="s">
        <v>1925</v>
      </c>
      <c r="F212" s="661" t="s">
        <v>2981</v>
      </c>
      <c r="G212" s="616"/>
      <c r="H212" s="655"/>
      <c r="J212" s="607" t="s">
        <v>2350</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1942</v>
      </c>
      <c r="D213" s="601" t="s">
        <v>745</v>
      </c>
      <c r="E213" s="602" t="s">
        <v>1926</v>
      </c>
      <c r="F213" s="661" t="s">
        <v>2982</v>
      </c>
      <c r="G213" s="616"/>
      <c r="H213" s="655"/>
      <c r="J213" s="607" t="s">
        <v>2351</v>
      </c>
    </row>
    <row r="214" spans="2:16" s="607" customFormat="1" ht="15.75" customHeight="1">
      <c r="B214" s="617" t="str">
        <f t="shared" si="3"/>
        <v>CIE Classification Definitions</v>
      </c>
      <c r="C214" s="601" t="s">
        <v>493</v>
      </c>
      <c r="D214" s="601" t="s">
        <v>746</v>
      </c>
      <c r="E214" s="602" t="s">
        <v>953</v>
      </c>
      <c r="F214" s="661" t="s">
        <v>2983</v>
      </c>
      <c r="G214" s="616"/>
      <c r="H214" s="655"/>
      <c r="J214" s="607" t="s">
        <v>2352</v>
      </c>
      <c r="K214" s="601"/>
      <c r="L214" s="601"/>
      <c r="M214" s="601"/>
      <c r="N214" s="601"/>
      <c r="O214" s="601"/>
      <c r="P214" s="601"/>
    </row>
    <row r="215" spans="2:16" s="607" customFormat="1" ht="15.75" customHeight="1">
      <c r="B215" s="617" t="str">
        <f t="shared" si="3"/>
        <v>Average Luminance of the Road Surface (Lav)</v>
      </c>
      <c r="C215" s="601" t="s">
        <v>1943</v>
      </c>
      <c r="D215" s="601" t="s">
        <v>747</v>
      </c>
      <c r="E215" s="601" t="s">
        <v>1944</v>
      </c>
      <c r="F215" s="661" t="s">
        <v>2984</v>
      </c>
      <c r="G215" s="616"/>
      <c r="H215" s="655"/>
      <c r="J215" s="607" t="s">
        <v>2353</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1945</v>
      </c>
      <c r="D216" s="601" t="s">
        <v>748</v>
      </c>
      <c r="E216" s="602" t="s">
        <v>1946</v>
      </c>
      <c r="F216" s="661" t="s">
        <v>2985</v>
      </c>
      <c r="G216" s="616"/>
      <c r="H216" s="655"/>
      <c r="J216" s="607" t="s">
        <v>2354</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494</v>
      </c>
      <c r="D217" s="601" t="s">
        <v>749</v>
      </c>
      <c r="E217" s="602" t="s">
        <v>1927</v>
      </c>
      <c r="F217" s="661" t="s">
        <v>2986</v>
      </c>
      <c r="G217" s="616"/>
      <c r="H217" s="655"/>
      <c r="J217" s="607" t="s">
        <v>2355</v>
      </c>
      <c r="K217" s="601"/>
      <c r="L217" s="601"/>
      <c r="M217" s="601"/>
      <c r="N217" s="601"/>
      <c r="O217" s="601"/>
      <c r="P217" s="601"/>
    </row>
    <row r="218" spans="2:16" s="607" customFormat="1" ht="15.75" customHeight="1">
      <c r="B218" s="617" t="str">
        <f t="shared" si="3"/>
        <v xml:space="preserve">Overall uniformity of Road Luminance (U0) </v>
      </c>
      <c r="C218" s="601" t="s">
        <v>1947</v>
      </c>
      <c r="D218" s="601" t="s">
        <v>750</v>
      </c>
      <c r="E218" s="601" t="s">
        <v>1948</v>
      </c>
      <c r="F218" s="661" t="s">
        <v>2987</v>
      </c>
      <c r="G218" s="616"/>
      <c r="H218" s="655"/>
      <c r="J218" s="607" t="s">
        <v>2356</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1949</v>
      </c>
      <c r="D219" s="601" t="s">
        <v>751</v>
      </c>
      <c r="E219" s="601" t="s">
        <v>1950</v>
      </c>
      <c r="F219" s="663" t="s">
        <v>2988</v>
      </c>
      <c r="G219" s="616"/>
      <c r="H219" s="655"/>
      <c r="J219" s="607" t="s">
        <v>2357</v>
      </c>
      <c r="K219" s="601"/>
      <c r="L219" s="601"/>
      <c r="M219" s="601"/>
      <c r="N219" s="601"/>
      <c r="O219" s="601"/>
      <c r="P219" s="601"/>
    </row>
    <row r="220" spans="2:16" s="607" customFormat="1" ht="15.75" customHeight="1">
      <c r="B220" s="617" t="str">
        <f t="shared" si="3"/>
        <v xml:space="preserve">Longitudinal Uniformity of Road Surface Luminance (Ul): </v>
      </c>
      <c r="C220" s="601" t="s">
        <v>1951</v>
      </c>
      <c r="D220" s="601" t="s">
        <v>752</v>
      </c>
      <c r="E220" s="601" t="s">
        <v>1952</v>
      </c>
      <c r="F220" s="661" t="s">
        <v>2989</v>
      </c>
      <c r="G220" s="616"/>
      <c r="H220" s="655"/>
      <c r="J220" s="607" t="s">
        <v>2358</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1953</v>
      </c>
      <c r="D221" s="601" t="s">
        <v>753</v>
      </c>
      <c r="E221" s="601" t="s">
        <v>1954</v>
      </c>
      <c r="F221" s="663" t="s">
        <v>2990</v>
      </c>
      <c r="G221" s="616"/>
      <c r="H221" s="655"/>
      <c r="J221" s="607" t="s">
        <v>2359</v>
      </c>
      <c r="K221" s="601"/>
      <c r="L221" s="601"/>
      <c r="M221" s="601"/>
      <c r="N221" s="601"/>
      <c r="O221" s="601"/>
      <c r="P221" s="601"/>
    </row>
    <row r="222" spans="2:16" s="607" customFormat="1" ht="15.75" customHeight="1">
      <c r="B222" s="617" t="str">
        <f t="shared" si="3"/>
        <v>Threshold Increment TI (fTI)</v>
      </c>
      <c r="C222" s="601" t="s">
        <v>1955</v>
      </c>
      <c r="D222" s="601" t="s">
        <v>754</v>
      </c>
      <c r="E222" s="601" t="s">
        <v>1956</v>
      </c>
      <c r="F222" s="661" t="s">
        <v>2991</v>
      </c>
      <c r="G222" s="616"/>
      <c r="H222" s="655"/>
      <c r="J222" s="607" t="s">
        <v>2360</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495</v>
      </c>
      <c r="D223" s="601" t="s">
        <v>755</v>
      </c>
      <c r="E223" s="602" t="s">
        <v>1569</v>
      </c>
      <c r="F223" s="661" t="s">
        <v>2992</v>
      </c>
      <c r="G223" s="616"/>
      <c r="H223" s="655"/>
      <c r="J223" s="607" t="s">
        <v>2361</v>
      </c>
      <c r="K223" s="601"/>
      <c r="L223" s="601"/>
      <c r="M223" s="601"/>
      <c r="N223" s="601"/>
      <c r="O223" s="601"/>
      <c r="P223" s="601"/>
    </row>
    <row r="224" spans="2:16" s="607" customFormat="1" ht="15.75" customHeight="1">
      <c r="B224" s="617" t="str">
        <f t="shared" si="3"/>
        <v>Surround Ratio SR (Rs)</v>
      </c>
      <c r="C224" s="601" t="s">
        <v>1957</v>
      </c>
      <c r="D224" s="601" t="s">
        <v>756</v>
      </c>
      <c r="E224" s="601" t="s">
        <v>1958</v>
      </c>
      <c r="F224" s="661" t="s">
        <v>2993</v>
      </c>
      <c r="G224" s="616"/>
      <c r="H224" s="655"/>
      <c r="J224" s="607" t="s">
        <v>2362</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496</v>
      </c>
      <c r="D225" s="601" t="s">
        <v>757</v>
      </c>
      <c r="E225" s="602" t="s">
        <v>1570</v>
      </c>
      <c r="F225" s="662" t="s">
        <v>2994</v>
      </c>
      <c r="G225" s="616"/>
      <c r="H225" s="655"/>
      <c r="J225" s="607" t="s">
        <v>2363</v>
      </c>
    </row>
    <row r="226" spans="2:14" s="607" customFormat="1" ht="15.75" customHeight="1">
      <c r="B226" s="617" t="str">
        <f t="shared" si="3"/>
        <v>Surround ratio is defined in CIE 140-2000.</v>
      </c>
      <c r="C226" s="601" t="s">
        <v>497</v>
      </c>
      <c r="D226" s="601" t="s">
        <v>758</v>
      </c>
      <c r="E226" s="602" t="s">
        <v>1571</v>
      </c>
      <c r="F226" s="663" t="s">
        <v>2995</v>
      </c>
      <c r="G226" s="616"/>
      <c r="H226" s="655"/>
      <c r="J226" s="607" t="s">
        <v>2364</v>
      </c>
    </row>
    <row r="227" spans="2:14" s="607" customFormat="1" ht="15.75" customHeight="1">
      <c r="B227" s="617" t="str">
        <f t="shared" si="3"/>
        <v>Fixtures</v>
      </c>
      <c r="C227" s="601" t="s">
        <v>38</v>
      </c>
      <c r="D227" s="601" t="s">
        <v>759</v>
      </c>
      <c r="E227" s="601" t="s">
        <v>1572</v>
      </c>
      <c r="F227" s="663" t="s">
        <v>2996</v>
      </c>
      <c r="G227" s="616"/>
      <c r="H227" s="655"/>
      <c r="J227" s="607" t="s">
        <v>2365</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1877</v>
      </c>
      <c r="E228" s="601" t="s">
        <v>1573</v>
      </c>
      <c r="F228" s="661" t="s">
        <v>3317</v>
      </c>
      <c r="G228" s="616"/>
      <c r="H228" s="655"/>
      <c r="J228" s="607" t="s">
        <v>2366</v>
      </c>
    </row>
    <row r="229" spans="2:14" s="607" customFormat="1" ht="15.75" customHeight="1">
      <c r="B229" s="617" t="str">
        <f t="shared" si="3"/>
        <v>Comments</v>
      </c>
      <c r="C229" s="601" t="s">
        <v>70</v>
      </c>
      <c r="D229" s="601" t="s">
        <v>760</v>
      </c>
      <c r="E229" s="602" t="s">
        <v>954</v>
      </c>
      <c r="F229" s="661" t="s">
        <v>2997</v>
      </c>
      <c r="G229" s="616"/>
      <c r="H229" s="655"/>
      <c r="J229" s="607" t="s">
        <v>2367</v>
      </c>
      <c r="L229" s="607" t="s">
        <v>2368</v>
      </c>
    </row>
    <row r="230" spans="2:14" s="607" customFormat="1" ht="15.75" customHeight="1">
      <c r="B230" s="617" t="str">
        <f t="shared" si="3"/>
        <v>Distribution Type</v>
      </c>
      <c r="C230" s="601" t="s">
        <v>71</v>
      </c>
      <c r="D230" s="601" t="s">
        <v>761</v>
      </c>
      <c r="E230" s="602" t="s">
        <v>955</v>
      </c>
      <c r="F230" s="661" t="s">
        <v>2998</v>
      </c>
      <c r="G230" s="616"/>
      <c r="H230" s="655"/>
      <c r="J230" s="607" t="s">
        <v>2369</v>
      </c>
      <c r="L230" s="607" t="s">
        <v>2370</v>
      </c>
    </row>
    <row r="231" spans="2:14" s="607" customFormat="1" ht="15.75" customHeight="1">
      <c r="B231" s="617" t="str">
        <f t="shared" si="3"/>
        <v>Fixture Data Row</v>
      </c>
      <c r="C231" s="601" t="s">
        <v>72</v>
      </c>
      <c r="D231" s="601" t="s">
        <v>762</v>
      </c>
      <c r="E231" s="602" t="s">
        <v>1574</v>
      </c>
      <c r="F231" s="661" t="s">
        <v>2999</v>
      </c>
      <c r="G231" s="616"/>
      <c r="H231" s="655"/>
      <c r="J231" s="607" t="s">
        <v>2371</v>
      </c>
    </row>
    <row r="232" spans="2:14" s="607" customFormat="1" ht="15.75" customHeight="1">
      <c r="B232" s="617" t="str">
        <f t="shared" si="3"/>
        <v>Include?</v>
      </c>
      <c r="C232" s="601" t="s">
        <v>1155</v>
      </c>
      <c r="D232" s="601" t="s">
        <v>1156</v>
      </c>
      <c r="E232" s="602" t="s">
        <v>1157</v>
      </c>
      <c r="F232" s="661" t="s">
        <v>3000</v>
      </c>
      <c r="G232" s="616"/>
      <c r="H232" s="655"/>
      <c r="J232" s="607" t="s">
        <v>2372</v>
      </c>
    </row>
    <row r="233" spans="2:14" s="607" customFormat="1" ht="15.75" customHeight="1">
      <c r="B233" s="617" t="str">
        <f t="shared" si="3"/>
        <v>Lamp Lumen Depreciation</v>
      </c>
      <c r="C233" s="601" t="s">
        <v>96</v>
      </c>
      <c r="D233" s="601" t="s">
        <v>763</v>
      </c>
      <c r="E233" s="602" t="s">
        <v>884</v>
      </c>
      <c r="F233" s="661" t="s">
        <v>3001</v>
      </c>
      <c r="G233" s="616"/>
      <c r="H233" s="655"/>
      <c r="J233" s="607" t="s">
        <v>2373</v>
      </c>
    </row>
    <row r="234" spans="2:14" s="607" customFormat="1" ht="15.75" customHeight="1">
      <c r="B234" s="617" t="str">
        <f t="shared" si="3"/>
        <v>Manufacturer</v>
      </c>
      <c r="C234" s="601" t="s">
        <v>68</v>
      </c>
      <c r="D234" s="601" t="s">
        <v>764</v>
      </c>
      <c r="E234" s="602" t="s">
        <v>956</v>
      </c>
      <c r="F234" s="661" t="s">
        <v>3002</v>
      </c>
      <c r="G234" s="616"/>
      <c r="H234" s="655"/>
      <c r="J234" s="607" t="s">
        <v>2374</v>
      </c>
      <c r="L234" s="607" t="s">
        <v>2375</v>
      </c>
    </row>
    <row r="235" spans="2:14" s="607" customFormat="1" ht="15.75" customHeight="1">
      <c r="B235" s="617" t="str">
        <f t="shared" si="3"/>
        <v>Model #</v>
      </c>
      <c r="C235" s="601" t="s">
        <v>69</v>
      </c>
      <c r="D235" s="601" t="s">
        <v>765</v>
      </c>
      <c r="E235" s="602" t="s">
        <v>957</v>
      </c>
      <c r="F235" s="661" t="s">
        <v>3003</v>
      </c>
      <c r="G235" s="616"/>
      <c r="H235" s="655"/>
      <c r="J235" s="607" t="s">
        <v>2376</v>
      </c>
      <c r="L235" s="607" t="s">
        <v>2377</v>
      </c>
    </row>
    <row r="236" spans="2:14" s="607" customFormat="1" ht="15.75" customHeight="1">
      <c r="B236" s="617" t="str">
        <f t="shared" si="3"/>
        <v>Defaults fixture prices are in dollars, but may be edited to match your currency</v>
      </c>
      <c r="C236" s="601" t="s">
        <v>549</v>
      </c>
      <c r="D236" s="601" t="s">
        <v>766</v>
      </c>
      <c r="E236" s="601" t="s">
        <v>1575</v>
      </c>
      <c r="F236" s="661" t="s">
        <v>3004</v>
      </c>
      <c r="G236" s="616"/>
      <c r="H236" s="655"/>
      <c r="J236" s="607" t="s">
        <v>2378</v>
      </c>
    </row>
    <row r="237" spans="2:14" s="607" customFormat="1" ht="15.75" customHeight="1">
      <c r="B237" s="617" t="str">
        <f t="shared" si="3"/>
        <v>Baseline</v>
      </c>
      <c r="C237" s="601" t="s">
        <v>22</v>
      </c>
      <c r="D237" s="601" t="s">
        <v>770</v>
      </c>
      <c r="E237" s="602" t="s">
        <v>962</v>
      </c>
      <c r="F237" s="661" t="s">
        <v>3005</v>
      </c>
      <c r="G237" s="616"/>
      <c r="H237" s="655"/>
      <c r="I237" s="607" t="s">
        <v>2379</v>
      </c>
      <c r="J237" s="607" t="s">
        <v>2380</v>
      </c>
      <c r="L237" s="607" t="s">
        <v>2381</v>
      </c>
    </row>
    <row r="238" spans="2:14" s="607" customFormat="1" ht="15.75" customHeight="1">
      <c r="B238" s="617" t="str">
        <f t="shared" si="3"/>
        <v>Average</v>
      </c>
      <c r="C238" s="601" t="s">
        <v>12</v>
      </c>
      <c r="D238" s="601" t="s">
        <v>767</v>
      </c>
      <c r="E238" s="602" t="s">
        <v>958</v>
      </c>
      <c r="F238" s="661" t="s">
        <v>3006</v>
      </c>
      <c r="G238" s="616"/>
      <c r="H238" s="655"/>
      <c r="J238" s="607" t="s">
        <v>2382</v>
      </c>
      <c r="L238" s="607" t="s">
        <v>2383</v>
      </c>
      <c r="M238" s="607" t="s">
        <v>2384</v>
      </c>
      <c r="N238" s="607" t="s">
        <v>2385</v>
      </c>
    </row>
    <row r="239" spans="2:14" s="607" customFormat="1" ht="15.75" customHeight="1">
      <c r="B239" s="617" t="str">
        <f t="shared" si="3"/>
        <v>Illuminance</v>
      </c>
      <c r="C239" s="601" t="s">
        <v>17</v>
      </c>
      <c r="D239" s="601" t="s">
        <v>768</v>
      </c>
      <c r="E239" s="602" t="s">
        <v>959</v>
      </c>
      <c r="F239" s="661" t="s">
        <v>3007</v>
      </c>
      <c r="G239" s="616"/>
      <c r="H239" s="655"/>
      <c r="J239" s="607" t="s">
        <v>2386</v>
      </c>
    </row>
    <row r="240" spans="2:14" s="607" customFormat="1" ht="15.75" customHeight="1">
      <c r="B240" s="617" t="str">
        <f t="shared" si="3"/>
        <v>Luminance</v>
      </c>
      <c r="C240" s="601" t="s">
        <v>199</v>
      </c>
      <c r="D240" s="601" t="s">
        <v>199</v>
      </c>
      <c r="E240" s="602" t="s">
        <v>960</v>
      </c>
      <c r="F240" s="661" t="s">
        <v>3008</v>
      </c>
      <c r="G240" s="616"/>
      <c r="H240" s="655"/>
      <c r="J240" s="607" t="s">
        <v>2387</v>
      </c>
    </row>
    <row r="241" spans="2:14" s="607" customFormat="1" ht="15.75" customHeight="1">
      <c r="B241" s="617" t="str">
        <f t="shared" si="3"/>
        <v>Uniformity</v>
      </c>
      <c r="C241" s="601" t="s">
        <v>52</v>
      </c>
      <c r="D241" s="601" t="s">
        <v>769</v>
      </c>
      <c r="E241" s="602" t="s">
        <v>961</v>
      </c>
      <c r="F241" s="661" t="s">
        <v>3009</v>
      </c>
      <c r="G241" s="616"/>
      <c r="H241" s="655"/>
      <c r="J241" s="607" t="s">
        <v>2388</v>
      </c>
      <c r="L241" s="607" t="s">
        <v>2389</v>
      </c>
      <c r="M241" s="607" t="s">
        <v>2390</v>
      </c>
    </row>
    <row r="242" spans="2:14" s="607" customFormat="1" ht="15.75" customHeight="1">
      <c r="B242" s="617" t="str">
        <f t="shared" si="3"/>
        <v>Baseline</v>
      </c>
      <c r="C242" s="601" t="s">
        <v>22</v>
      </c>
      <c r="D242" s="601" t="s">
        <v>770</v>
      </c>
      <c r="E242" s="602" t="s">
        <v>962</v>
      </c>
      <c r="F242" s="661" t="s">
        <v>3005</v>
      </c>
      <c r="G242" s="616"/>
      <c r="H242" s="655"/>
      <c r="J242" s="607" t="s">
        <v>2391</v>
      </c>
    </row>
    <row r="243" spans="2:14" s="607" customFormat="1" ht="15.75" customHeight="1">
      <c r="B243" s="617" t="str">
        <f t="shared" si="3"/>
        <v>RESULTS</v>
      </c>
      <c r="C243" s="601" t="s">
        <v>278</v>
      </c>
      <c r="D243" s="601" t="s">
        <v>771</v>
      </c>
      <c r="E243" s="602" t="s">
        <v>963</v>
      </c>
      <c r="F243" s="661" t="s">
        <v>3010</v>
      </c>
      <c r="G243" s="616"/>
      <c r="H243" s="655"/>
      <c r="I243" s="607" t="s">
        <v>2392</v>
      </c>
    </row>
    <row r="244" spans="2:14" s="607" customFormat="1" ht="15.75" customHeight="1">
      <c r="B244" s="617" t="str">
        <f t="shared" si="3"/>
        <v>$/kilometer/yr</v>
      </c>
      <c r="C244" s="601" t="s">
        <v>56</v>
      </c>
      <c r="D244" s="601" t="s">
        <v>772</v>
      </c>
      <c r="E244" s="601" t="s">
        <v>964</v>
      </c>
      <c r="F244" s="661" t="s">
        <v>3011</v>
      </c>
      <c r="G244" s="616"/>
      <c r="H244" s="655"/>
      <c r="J244" s="607" t="s">
        <v>2393</v>
      </c>
    </row>
    <row r="245" spans="2:14" s="607" customFormat="1" ht="15.75" customHeight="1">
      <c r="B245" s="617" t="str">
        <f t="shared" si="3"/>
        <v>Full NPV costs</v>
      </c>
      <c r="C245" s="601" t="s">
        <v>94</v>
      </c>
      <c r="D245" s="601" t="s">
        <v>773</v>
      </c>
      <c r="E245" s="602" t="s">
        <v>965</v>
      </c>
      <c r="F245" s="661" t="s">
        <v>3012</v>
      </c>
      <c r="G245" s="616"/>
      <c r="H245" s="655"/>
      <c r="J245" s="607" t="s">
        <v>2394</v>
      </c>
    </row>
    <row r="246" spans="2:14" s="607" customFormat="1" ht="15.75" customHeight="1">
      <c r="B246" s="617" t="str">
        <f t="shared" si="3"/>
        <v>Graph Data - Alignment</v>
      </c>
      <c r="C246" s="601" t="s">
        <v>64</v>
      </c>
      <c r="D246" s="601" t="s">
        <v>774</v>
      </c>
      <c r="E246" s="602" t="s">
        <v>966</v>
      </c>
      <c r="F246" s="661" t="s">
        <v>3013</v>
      </c>
      <c r="G246" s="616"/>
      <c r="H246" s="655"/>
      <c r="J246" s="607" t="s">
        <v>2395</v>
      </c>
    </row>
    <row r="247" spans="2:14" s="607" customFormat="1" ht="15.75" customHeight="1">
      <c r="B247" s="617" t="str">
        <f t="shared" si="3"/>
        <v>Installation $/km</v>
      </c>
      <c r="C247" s="601" t="s">
        <v>91</v>
      </c>
      <c r="D247" s="601" t="s">
        <v>775</v>
      </c>
      <c r="E247" s="601" t="s">
        <v>967</v>
      </c>
      <c r="F247" s="661" t="s">
        <v>3014</v>
      </c>
      <c r="G247" s="616"/>
      <c r="H247" s="655"/>
      <c r="J247" s="607" t="s">
        <v>2396</v>
      </c>
    </row>
    <row r="248" spans="2:14" s="607" customFormat="1" ht="15.75" customHeight="1">
      <c r="B248" s="617" t="str">
        <f t="shared" si="3"/>
        <v>kWh/kilometer/yr</v>
      </c>
      <c r="C248" s="601" t="s">
        <v>57</v>
      </c>
      <c r="D248" s="601" t="s">
        <v>776</v>
      </c>
      <c r="E248" s="601" t="s">
        <v>968</v>
      </c>
      <c r="F248" s="661" t="s">
        <v>3015</v>
      </c>
      <c r="G248" s="616"/>
      <c r="H248" s="655"/>
      <c r="J248" s="607" t="s">
        <v>2397</v>
      </c>
      <c r="L248" s="607" t="s">
        <v>2398</v>
      </c>
      <c r="M248" s="607" t="s">
        <v>2399</v>
      </c>
    </row>
    <row r="249" spans="2:14" s="607" customFormat="1" ht="15.75" customHeight="1">
      <c r="B249" s="617" t="str">
        <f t="shared" si="3"/>
        <v>Max</v>
      </c>
      <c r="C249" s="601" t="s">
        <v>11</v>
      </c>
      <c r="D249" s="601" t="s">
        <v>777</v>
      </c>
      <c r="E249" s="602" t="s">
        <v>969</v>
      </c>
      <c r="F249" s="662" t="s">
        <v>3016</v>
      </c>
      <c r="G249" s="616"/>
      <c r="H249" s="655"/>
      <c r="J249" s="607" t="s">
        <v>2400</v>
      </c>
      <c r="L249" s="607" t="s">
        <v>2401</v>
      </c>
      <c r="M249" s="607" t="s">
        <v>2402</v>
      </c>
      <c r="N249" s="607" t="s">
        <v>2403</v>
      </c>
    </row>
    <row r="250" spans="2:14" s="607" customFormat="1" ht="15.75" customHeight="1">
      <c r="B250" s="617" t="str">
        <f t="shared" si="3"/>
        <v>NPV Energy Cost $/km</v>
      </c>
      <c r="C250" s="601" t="s">
        <v>92</v>
      </c>
      <c r="D250" s="601" t="s">
        <v>1928</v>
      </c>
      <c r="E250" s="601" t="s">
        <v>970</v>
      </c>
      <c r="F250" s="661" t="s">
        <v>3017</v>
      </c>
      <c r="G250" s="616"/>
      <c r="H250" s="655"/>
      <c r="J250" s="607" t="s">
        <v>2404</v>
      </c>
    </row>
    <row r="251" spans="2:14" s="607" customFormat="1" ht="15.75" customHeight="1">
      <c r="B251" s="617" t="str">
        <f t="shared" si="3"/>
        <v>NPV Maintenance Cost ($/km)</v>
      </c>
      <c r="C251" s="601" t="s">
        <v>93</v>
      </c>
      <c r="D251" s="601" t="s">
        <v>778</v>
      </c>
      <c r="E251" s="601" t="s">
        <v>971</v>
      </c>
      <c r="F251" s="661" t="s">
        <v>3018</v>
      </c>
      <c r="G251" s="616"/>
      <c r="H251" s="655"/>
      <c r="J251" s="607" t="s">
        <v>2405</v>
      </c>
    </row>
    <row r="252" spans="2:14" s="607" customFormat="1" ht="15.75" customHeight="1">
      <c r="B252" s="617" t="str">
        <f t="shared" si="3"/>
        <v>Target - Avg Illuminance</v>
      </c>
      <c r="C252" s="601" t="s">
        <v>1052</v>
      </c>
      <c r="D252" s="601" t="s">
        <v>779</v>
      </c>
      <c r="E252" s="602" t="s">
        <v>1576</v>
      </c>
      <c r="F252" s="661" t="s">
        <v>3019</v>
      </c>
      <c r="G252" s="616"/>
      <c r="H252" s="655"/>
      <c r="J252" s="607" t="s">
        <v>2406</v>
      </c>
      <c r="L252" s="607" t="s">
        <v>2407</v>
      </c>
    </row>
    <row r="253" spans="2:14" s="607" customFormat="1" ht="15.75" customHeight="1">
      <c r="B253" s="617" t="str">
        <f t="shared" si="3"/>
        <v>Target - Min Illuminance</v>
      </c>
      <c r="C253" s="601" t="s">
        <v>1053</v>
      </c>
      <c r="D253" s="601" t="s">
        <v>780</v>
      </c>
      <c r="E253" s="602" t="s">
        <v>1577</v>
      </c>
      <c r="F253" s="661" t="s">
        <v>3020</v>
      </c>
      <c r="G253" s="616"/>
      <c r="H253" s="655"/>
      <c r="J253" s="607" t="s">
        <v>2408</v>
      </c>
    </row>
    <row r="254" spans="2:14" s="607" customFormat="1" ht="15.75" customHeight="1">
      <c r="B254" s="617" t="str">
        <f t="shared" si="3"/>
        <v>$/fixture</v>
      </c>
      <c r="C254" s="601" t="s">
        <v>23</v>
      </c>
      <c r="D254" s="601" t="s">
        <v>781</v>
      </c>
      <c r="E254" s="601" t="s">
        <v>1578</v>
      </c>
      <c r="F254" s="661" t="s">
        <v>3021</v>
      </c>
      <c r="G254" s="616"/>
      <c r="H254" s="655"/>
      <c r="J254" s="607" t="s">
        <v>2409</v>
      </c>
    </row>
    <row r="255" spans="2:14" s="607" customFormat="1" ht="15.75" customHeight="1">
      <c r="B255" s="617" t="str">
        <f t="shared" si="3"/>
        <v>Annual Energy</v>
      </c>
      <c r="C255" s="601" t="s">
        <v>20</v>
      </c>
      <c r="D255" s="601" t="s">
        <v>782</v>
      </c>
      <c r="E255" s="602" t="s">
        <v>972</v>
      </c>
      <c r="F255" s="663" t="s">
        <v>3022</v>
      </c>
      <c r="G255" s="616"/>
      <c r="H255" s="655"/>
      <c r="J255" s="607" t="s">
        <v>2410</v>
      </c>
    </row>
    <row r="256" spans="2:14" s="607" customFormat="1" ht="15.75" customHeight="1">
      <c r="B256" s="617" t="str">
        <f t="shared" si="3"/>
        <v>kWh/fixture</v>
      </c>
      <c r="C256" s="601" t="s">
        <v>21</v>
      </c>
      <c r="D256" s="601" t="s">
        <v>784</v>
      </c>
      <c r="E256" s="601" t="s">
        <v>1579</v>
      </c>
      <c r="F256" s="661" t="s">
        <v>3023</v>
      </c>
      <c r="G256" s="616"/>
      <c r="H256" s="655"/>
      <c r="J256" s="607" t="s">
        <v>2411</v>
      </c>
      <c r="L256" s="607" t="s">
        <v>2412</v>
      </c>
      <c r="M256" s="607" t="s">
        <v>2413</v>
      </c>
    </row>
    <row r="257" spans="2:15" s="607" customFormat="1" ht="15.75" customHeight="1">
      <c r="B257" s="617" t="str">
        <f t="shared" si="3"/>
        <v>Min</v>
      </c>
      <c r="C257" s="601" t="s">
        <v>10</v>
      </c>
      <c r="D257" s="601" t="s">
        <v>785</v>
      </c>
      <c r="E257" s="602" t="s">
        <v>975</v>
      </c>
      <c r="F257" s="662" t="s">
        <v>3024</v>
      </c>
      <c r="G257" s="616"/>
      <c r="H257" s="655"/>
      <c r="J257" s="607" t="s">
        <v>2414</v>
      </c>
      <c r="L257" s="607" t="s">
        <v>2415</v>
      </c>
      <c r="M257" s="607" t="s">
        <v>2416</v>
      </c>
      <c r="N257" s="607" t="s">
        <v>2417</v>
      </c>
    </row>
    <row r="258" spans="2:15" s="607" customFormat="1" ht="15.75" customHeight="1">
      <c r="B258" s="617" t="str">
        <f t="shared" si="3"/>
        <v>Discount Rate</v>
      </c>
      <c r="C258" s="601" t="s">
        <v>89</v>
      </c>
      <c r="D258" s="601" t="s">
        <v>787</v>
      </c>
      <c r="E258" s="602" t="s">
        <v>976</v>
      </c>
      <c r="F258" s="663" t="s">
        <v>3025</v>
      </c>
      <c r="G258" s="616"/>
      <c r="H258" s="655"/>
      <c r="J258" s="607" t="s">
        <v>2418</v>
      </c>
      <c r="L258" s="607" t="s">
        <v>2419</v>
      </c>
    </row>
    <row r="259" spans="2:15" s="607" customFormat="1" ht="15.75" customHeight="1">
      <c r="B259" s="617" t="str">
        <f t="shared" si="3"/>
        <v>Pole installation cost
(labor + materials)</v>
      </c>
      <c r="C259" s="601" t="s">
        <v>88</v>
      </c>
      <c r="D259" s="601" t="s">
        <v>788</v>
      </c>
      <c r="E259" s="602" t="s">
        <v>1580</v>
      </c>
      <c r="F259" s="661" t="s">
        <v>3026</v>
      </c>
      <c r="G259" s="616"/>
      <c r="H259" s="655"/>
      <c r="J259" s="607" t="s">
        <v>2420</v>
      </c>
    </row>
    <row r="260" spans="2:15" s="607" customFormat="1" ht="15.75" customHeight="1">
      <c r="B260" s="617" t="str">
        <f t="shared" si="3"/>
        <v>Description:</v>
      </c>
      <c r="C260" s="601" t="s">
        <v>31</v>
      </c>
      <c r="D260" s="601" t="s">
        <v>790</v>
      </c>
      <c r="E260" s="602" t="s">
        <v>977</v>
      </c>
      <c r="F260" s="661" t="s">
        <v>3027</v>
      </c>
      <c r="G260" s="616"/>
      <c r="H260" s="655"/>
      <c r="J260" s="607" t="s">
        <v>2421</v>
      </c>
    </row>
    <row r="261" spans="2:15" s="607" customFormat="1" ht="15.75" customHeight="1">
      <c r="B261" s="617" t="str">
        <f t="shared" si="3"/>
        <v>Lane Width</v>
      </c>
      <c r="C261" s="601" t="s">
        <v>6</v>
      </c>
      <c r="D261" s="601" t="s">
        <v>791</v>
      </c>
      <c r="E261" s="602" t="s">
        <v>978</v>
      </c>
      <c r="F261" s="661" t="s">
        <v>3028</v>
      </c>
      <c r="G261" s="616"/>
      <c r="H261" s="655"/>
      <c r="J261" s="607" t="s">
        <v>2422</v>
      </c>
      <c r="L261" s="607" t="s">
        <v>2423</v>
      </c>
      <c r="M261" s="607" t="s">
        <v>2424</v>
      </c>
      <c r="N261" s="607" t="s">
        <v>2425</v>
      </c>
      <c r="O261" s="607" t="s">
        <v>2426</v>
      </c>
    </row>
    <row r="262" spans="2:15" s="607" customFormat="1" ht="15.75" customHeight="1">
      <c r="B262" s="617" t="str">
        <f t="shared" si="3"/>
        <v>Light Geometry:</v>
      </c>
      <c r="C262" s="601" t="s">
        <v>13</v>
      </c>
      <c r="D262" s="601" t="s">
        <v>792</v>
      </c>
      <c r="E262" s="602" t="s">
        <v>979</v>
      </c>
      <c r="F262" s="661" t="s">
        <v>3029</v>
      </c>
      <c r="G262" s="616"/>
      <c r="H262" s="655"/>
      <c r="J262" s="607" t="s">
        <v>2427</v>
      </c>
      <c r="L262" s="607" t="s">
        <v>2428</v>
      </c>
    </row>
    <row r="263" spans="2:15" s="607" customFormat="1" ht="15.75" customHeight="1">
      <c r="B263" s="617" t="str">
        <f t="shared" si="3"/>
        <v>Number of Points in Grid</v>
      </c>
      <c r="C263" s="601" t="s">
        <v>35</v>
      </c>
      <c r="D263" s="601" t="s">
        <v>793</v>
      </c>
      <c r="E263" s="602" t="s">
        <v>980</v>
      </c>
      <c r="F263" s="662" t="s">
        <v>3030</v>
      </c>
      <c r="G263" s="616"/>
      <c r="H263" s="655"/>
      <c r="J263" s="607" t="s">
        <v>2429</v>
      </c>
      <c r="L263" s="607" t="s">
        <v>2430</v>
      </c>
      <c r="M263" s="607" t="s">
        <v>2431</v>
      </c>
    </row>
    <row r="264" spans="2:15" s="607" customFormat="1" ht="15.75" customHeight="1">
      <c r="B264" s="617" t="str">
        <f t="shared" si="3"/>
        <v>Pole Spacing</v>
      </c>
      <c r="C264" s="601" t="s">
        <v>2</v>
      </c>
      <c r="D264" s="601" t="s">
        <v>794</v>
      </c>
      <c r="E264" s="602" t="s">
        <v>1581</v>
      </c>
      <c r="F264" s="663" t="s">
        <v>3031</v>
      </c>
      <c r="G264" s="616"/>
      <c r="H264" s="655"/>
      <c r="J264" s="607" t="s">
        <v>2432</v>
      </c>
      <c r="L264" s="607" t="s">
        <v>2433</v>
      </c>
      <c r="M264" s="607" t="s">
        <v>2434</v>
      </c>
      <c r="N264" s="607" t="s">
        <v>2435</v>
      </c>
      <c r="O264" s="607" t="s">
        <v>2436</v>
      </c>
    </row>
    <row r="265" spans="2:15" s="607" customFormat="1" ht="15.75" customHeight="1">
      <c r="B265" s="617" t="str">
        <f t="shared" si="3"/>
        <v>Uniformity Ratio (Iavg/Imin)</v>
      </c>
      <c r="C265" s="601" t="s">
        <v>1076</v>
      </c>
      <c r="D265" s="601" t="s">
        <v>1077</v>
      </c>
      <c r="E265" s="602" t="s">
        <v>1078</v>
      </c>
      <c r="F265" s="663" t="s">
        <v>3032</v>
      </c>
      <c r="G265" s="616"/>
      <c r="H265" s="655"/>
      <c r="J265" s="607" t="s">
        <v>2437</v>
      </c>
      <c r="L265" s="607" t="s">
        <v>2438</v>
      </c>
      <c r="M265" s="607" t="s">
        <v>2439</v>
      </c>
    </row>
    <row r="266" spans="2:15" s="607" customFormat="1" ht="15.75" customHeight="1">
      <c r="B266" s="617" t="str">
        <f t="shared" si="3"/>
        <v>Uniformity Ratio (Imin/Iavg)</v>
      </c>
      <c r="C266" s="601" t="s">
        <v>1761</v>
      </c>
      <c r="D266" s="601" t="s">
        <v>1759</v>
      </c>
      <c r="E266" s="602" t="s">
        <v>1760</v>
      </c>
      <c r="F266" s="663" t="s">
        <v>3033</v>
      </c>
      <c r="G266" s="616"/>
      <c r="H266" s="655"/>
      <c r="J266" s="607" t="s">
        <v>2440</v>
      </c>
    </row>
    <row r="267" spans="2:15" s="607" customFormat="1" ht="15.75" customHeight="1">
      <c r="B267" s="617" t="str">
        <f t="shared" si="3"/>
        <v>Uniformity Ratio (IES - lavg/lmin; CIE - lmin/lavg)</v>
      </c>
      <c r="C267" s="601" t="s">
        <v>1929</v>
      </c>
      <c r="D267" s="601" t="s">
        <v>1357</v>
      </c>
      <c r="E267" s="602" t="s">
        <v>1358</v>
      </c>
      <c r="F267" s="663" t="s">
        <v>3034</v>
      </c>
      <c r="G267" s="616"/>
      <c r="H267" s="655"/>
      <c r="J267" s="607" t="s">
        <v>2441</v>
      </c>
    </row>
    <row r="268" spans="2:15" s="607" customFormat="1" ht="15.75" customHeight="1">
      <c r="B268" s="617" t="str">
        <f t="shared" ref="B268:B298" si="4">INDEX(C268:G268,MATCH($B$11,$C$11:$G$11,0))</f>
        <v>Average Illuminance</v>
      </c>
      <c r="C268" s="601" t="s">
        <v>39</v>
      </c>
      <c r="D268" s="601" t="s">
        <v>814</v>
      </c>
      <c r="E268" s="602" t="s">
        <v>1359</v>
      </c>
      <c r="F268" s="661" t="s">
        <v>3035</v>
      </c>
      <c r="G268" s="616"/>
      <c r="H268" s="655"/>
      <c r="J268" s="607" t="s">
        <v>2442</v>
      </c>
    </row>
    <row r="269" spans="2:15" s="607" customFormat="1" ht="15.75" customHeight="1">
      <c r="B269" s="617" t="str">
        <f t="shared" si="4"/>
        <v>Minimum Illuminance</v>
      </c>
      <c r="C269" s="601" t="s">
        <v>40</v>
      </c>
      <c r="D269" s="601" t="s">
        <v>815</v>
      </c>
      <c r="E269" s="602" t="s">
        <v>1360</v>
      </c>
      <c r="F269" s="662" t="s">
        <v>3036</v>
      </c>
      <c r="G269" s="616"/>
      <c r="H269" s="655"/>
      <c r="J269" s="607" t="s">
        <v>2443</v>
      </c>
    </row>
    <row r="270" spans="2:15" s="607" customFormat="1" ht="15.75" customHeight="1">
      <c r="B270" s="617" t="str">
        <f t="shared" si="4"/>
        <v>Maximum Illuminance</v>
      </c>
      <c r="C270" s="601" t="s">
        <v>54</v>
      </c>
      <c r="D270" s="601" t="s">
        <v>816</v>
      </c>
      <c r="E270" s="602" t="s">
        <v>1361</v>
      </c>
      <c r="F270" s="662" t="s">
        <v>3037</v>
      </c>
      <c r="G270" s="616"/>
      <c r="H270" s="655"/>
      <c r="J270" s="607" t="s">
        <v>2444</v>
      </c>
    </row>
    <row r="271" spans="2:15" s="607" customFormat="1" ht="15.75" customHeight="1">
      <c r="B271" s="617" t="str">
        <f t="shared" si="4"/>
        <v>Average Luminance</v>
      </c>
      <c r="C271" s="601" t="s">
        <v>203</v>
      </c>
      <c r="D271" s="604" t="s">
        <v>783</v>
      </c>
      <c r="E271" s="602" t="s">
        <v>1582</v>
      </c>
      <c r="F271" s="662" t="s">
        <v>3038</v>
      </c>
      <c r="G271" s="616"/>
      <c r="H271" s="655"/>
      <c r="J271" s="607" t="s">
        <v>2445</v>
      </c>
    </row>
    <row r="272" spans="2:15" s="607" customFormat="1" ht="15.75" customHeight="1">
      <c r="B272" s="617" t="str">
        <f t="shared" si="4"/>
        <v>Minimum Luminance</v>
      </c>
      <c r="C272" s="601" t="s">
        <v>204</v>
      </c>
      <c r="D272" s="604" t="s">
        <v>786</v>
      </c>
      <c r="E272" s="602" t="s">
        <v>1583</v>
      </c>
      <c r="F272" s="662" t="s">
        <v>3039</v>
      </c>
      <c r="G272" s="616"/>
      <c r="H272" s="655"/>
      <c r="J272" s="607" t="s">
        <v>2446</v>
      </c>
    </row>
    <row r="273" spans="1:18" s="607" customFormat="1" ht="15.75" customHeight="1">
      <c r="B273" s="617" t="str">
        <f t="shared" si="4"/>
        <v>Maximum Luminance</v>
      </c>
      <c r="C273" s="601" t="s">
        <v>1271</v>
      </c>
      <c r="D273" s="601" t="s">
        <v>1362</v>
      </c>
      <c r="E273" s="602" t="s">
        <v>1363</v>
      </c>
      <c r="F273" s="662" t="s">
        <v>3040</v>
      </c>
      <c r="G273" s="616"/>
      <c r="H273" s="655"/>
      <c r="J273" s="607" t="s">
        <v>2447</v>
      </c>
    </row>
    <row r="274" spans="1:18" s="607" customFormat="1" ht="15.75" customHeight="1">
      <c r="B274" s="617" t="str">
        <f t="shared" si="4"/>
        <v>Uniformity Ratio (Imax/Imin)</v>
      </c>
      <c r="C274" s="601" t="s">
        <v>1263</v>
      </c>
      <c r="D274" s="601" t="s">
        <v>1364</v>
      </c>
      <c r="E274" s="602" t="s">
        <v>1078</v>
      </c>
      <c r="F274" s="662" t="s">
        <v>3041</v>
      </c>
      <c r="G274" s="616"/>
      <c r="H274" s="655"/>
      <c r="J274" s="607" t="s">
        <v>2448</v>
      </c>
    </row>
    <row r="275" spans="1:18" s="607" customFormat="1" ht="15.75" customHeight="1">
      <c r="B275" s="617" t="str">
        <f t="shared" si="4"/>
        <v>HPS default lamp lumen depreciation</v>
      </c>
      <c r="C275" s="601" t="s">
        <v>103</v>
      </c>
      <c r="D275" s="601" t="s">
        <v>795</v>
      </c>
      <c r="E275" s="602" t="s">
        <v>1584</v>
      </c>
      <c r="F275" s="662" t="s">
        <v>3042</v>
      </c>
      <c r="G275" s="616"/>
      <c r="H275" s="655"/>
      <c r="J275" s="607" t="s">
        <v>2449</v>
      </c>
    </row>
    <row r="276" spans="1:18" s="607" customFormat="1" ht="15.75" customHeight="1">
      <c r="B276" s="617" t="str">
        <f t="shared" si="4"/>
        <v>HPS default life (hours)</v>
      </c>
      <c r="C276" s="601" t="s">
        <v>101</v>
      </c>
      <c r="D276" s="601" t="s">
        <v>1930</v>
      </c>
      <c r="E276" s="602" t="s">
        <v>1585</v>
      </c>
      <c r="F276" s="662" t="s">
        <v>3043</v>
      </c>
      <c r="G276" s="616"/>
      <c r="H276" s="655"/>
      <c r="J276" s="607" t="s">
        <v>2450</v>
      </c>
    </row>
    <row r="277" spans="1:18" s="607" customFormat="1" ht="15.75" customHeight="1">
      <c r="B277" s="617" t="str">
        <f t="shared" si="4"/>
        <v>LED default lamp lumen depreciation</v>
      </c>
      <c r="C277" s="601" t="s">
        <v>102</v>
      </c>
      <c r="D277" s="601" t="s">
        <v>796</v>
      </c>
      <c r="E277" s="602" t="s">
        <v>1586</v>
      </c>
      <c r="F277" s="662" t="s">
        <v>3044</v>
      </c>
      <c r="G277" s="616"/>
      <c r="H277" s="655"/>
      <c r="J277" s="607" t="s">
        <v>2451</v>
      </c>
    </row>
    <row r="278" spans="1:18" s="607" customFormat="1" ht="15.75" customHeight="1">
      <c r="B278" s="617" t="str">
        <f t="shared" si="4"/>
        <v>LED Default life (hours)</v>
      </c>
      <c r="C278" s="601" t="s">
        <v>100</v>
      </c>
      <c r="D278" s="601" t="s">
        <v>797</v>
      </c>
      <c r="E278" s="602" t="s">
        <v>982</v>
      </c>
      <c r="F278" s="662" t="s">
        <v>3045</v>
      </c>
      <c r="G278" s="616"/>
      <c r="H278" s="655"/>
      <c r="J278" s="607" t="s">
        <v>2452</v>
      </c>
    </row>
    <row r="279" spans="1:18" s="607" customFormat="1" ht="15.75" customHeight="1">
      <c r="B279" s="617" t="str">
        <f t="shared" si="4"/>
        <v>MH default lamp lumen depreciation</v>
      </c>
      <c r="C279" s="601" t="s">
        <v>333</v>
      </c>
      <c r="D279" s="601" t="s">
        <v>798</v>
      </c>
      <c r="E279" s="602" t="s">
        <v>1587</v>
      </c>
      <c r="F279" s="662" t="s">
        <v>3046</v>
      </c>
      <c r="G279" s="616"/>
      <c r="H279" s="655"/>
      <c r="J279" s="607" t="s">
        <v>2453</v>
      </c>
    </row>
    <row r="280" spans="1:18" s="607" customFormat="1" ht="15.75" customHeight="1">
      <c r="B280" s="617" t="str">
        <f t="shared" si="4"/>
        <v>MH default life (hours)</v>
      </c>
      <c r="C280" s="601" t="s">
        <v>332</v>
      </c>
      <c r="D280" s="601" t="s">
        <v>1931</v>
      </c>
      <c r="E280" s="602" t="s">
        <v>1588</v>
      </c>
      <c r="F280" s="662" t="s">
        <v>3047</v>
      </c>
      <c r="G280" s="616"/>
      <c r="H280" s="655"/>
      <c r="J280" s="607" t="s">
        <v>2454</v>
      </c>
    </row>
    <row r="281" spans="1:18" s="607" customFormat="1" ht="15.75" customHeight="1">
      <c r="B281" s="617" t="str">
        <f t="shared" si="4"/>
        <v>Notes</v>
      </c>
      <c r="C281" s="601" t="s">
        <v>99</v>
      </c>
      <c r="D281" s="601" t="s">
        <v>99</v>
      </c>
      <c r="E281" s="602" t="s">
        <v>983</v>
      </c>
      <c r="F281" s="662" t="s">
        <v>3048</v>
      </c>
      <c r="G281" s="616"/>
      <c r="H281" s="655"/>
      <c r="J281" s="607" t="s">
        <v>2455</v>
      </c>
    </row>
    <row r="282" spans="1:18" s="607" customFormat="1" ht="15.75" customHeight="1">
      <c r="B282" s="617" t="str">
        <f t="shared" si="4"/>
        <v>Value</v>
      </c>
      <c r="C282" s="601" t="s">
        <v>98</v>
      </c>
      <c r="D282" s="601" t="s">
        <v>799</v>
      </c>
      <c r="E282" s="602" t="s">
        <v>984</v>
      </c>
      <c r="F282" s="662" t="s">
        <v>3049</v>
      </c>
      <c r="G282" s="616"/>
      <c r="H282" s="655"/>
      <c r="J282" s="607" t="s">
        <v>2456</v>
      </c>
    </row>
    <row r="283" spans="1:18" s="607" customFormat="1" ht="15.75" customHeight="1">
      <c r="B283" s="617" t="str">
        <f t="shared" si="4"/>
        <v>Variable</v>
      </c>
      <c r="C283" s="601" t="s">
        <v>97</v>
      </c>
      <c r="D283" s="601" t="s">
        <v>97</v>
      </c>
      <c r="E283" s="602" t="s">
        <v>97</v>
      </c>
      <c r="F283" s="662" t="s">
        <v>3050</v>
      </c>
      <c r="G283" s="616"/>
      <c r="H283" s="655"/>
      <c r="J283" s="607" t="s">
        <v>2457</v>
      </c>
    </row>
    <row r="284" spans="1:18" s="607" customFormat="1" ht="15.75" customHeight="1">
      <c r="B284" s="617" t="str">
        <f t="shared" si="4"/>
        <v>EXAMPLES</v>
      </c>
      <c r="C284" s="601" t="s">
        <v>276</v>
      </c>
      <c r="D284" s="601" t="s">
        <v>800</v>
      </c>
      <c r="E284" s="602" t="s">
        <v>985</v>
      </c>
      <c r="F284" s="662" t="s">
        <v>3051</v>
      </c>
      <c r="G284" s="616"/>
      <c r="H284" s="655"/>
      <c r="J284" s="607" t="s">
        <v>2458</v>
      </c>
    </row>
    <row r="285" spans="1:18" s="607" customFormat="1" ht="15.75" customHeight="1">
      <c r="B285" s="617" t="str">
        <f t="shared" si="4"/>
        <v>SEAD Procurement Tool for Energy Efficient Street Lighting</v>
      </c>
      <c r="C285" s="601" t="s">
        <v>498</v>
      </c>
      <c r="D285" s="601" t="s">
        <v>801</v>
      </c>
      <c r="E285" s="602" t="s">
        <v>1589</v>
      </c>
      <c r="F285" s="662" t="s">
        <v>3052</v>
      </c>
      <c r="G285" s="616"/>
      <c r="H285" s="655"/>
      <c r="J285" s="607" t="s">
        <v>2459</v>
      </c>
    </row>
    <row r="286" spans="1:18" s="607" customFormat="1" ht="15.75" customHeight="1">
      <c r="A286" s="601"/>
      <c r="B286" s="617" t="str">
        <f t="shared" si="4"/>
        <v>Before you get started, please take some time to read the instructions located on the navigation worksheet .</v>
      </c>
      <c r="C286" s="601" t="s">
        <v>499</v>
      </c>
      <c r="D286" s="601" t="s">
        <v>802</v>
      </c>
      <c r="E286" s="602" t="s">
        <v>986</v>
      </c>
      <c r="F286" s="662" t="s">
        <v>3053</v>
      </c>
      <c r="G286" s="616"/>
      <c r="H286" s="655"/>
      <c r="I286" s="601"/>
      <c r="J286" s="601" t="s">
        <v>2460</v>
      </c>
      <c r="K286" s="601"/>
      <c r="L286" s="601"/>
      <c r="M286" s="601"/>
      <c r="N286" s="601"/>
    </row>
    <row r="287" spans="1:18" s="607" customFormat="1" ht="15.75" customHeight="1">
      <c r="B287" s="617" t="str">
        <f t="shared" si="4"/>
        <v>Table 2: IESNA Luminance Method - Recommended Values</v>
      </c>
      <c r="C287" s="601" t="s">
        <v>346</v>
      </c>
      <c r="D287" s="601" t="s">
        <v>803</v>
      </c>
      <c r="E287" s="601" t="s">
        <v>987</v>
      </c>
      <c r="F287" s="662" t="s">
        <v>3054</v>
      </c>
      <c r="G287" s="616"/>
      <c r="H287" s="655"/>
      <c r="J287" s="607" t="s">
        <v>2461</v>
      </c>
    </row>
    <row r="288" spans="1:18" s="607" customFormat="1" ht="15.75" customHeight="1">
      <c r="B288" s="617" t="str">
        <f t="shared" si="4"/>
        <v>Medium</v>
      </c>
      <c r="C288" s="601" t="s">
        <v>141</v>
      </c>
      <c r="D288" s="601" t="s">
        <v>804</v>
      </c>
      <c r="E288" s="602" t="s">
        <v>988</v>
      </c>
      <c r="F288" s="662" t="s">
        <v>3055</v>
      </c>
      <c r="G288" s="616"/>
      <c r="H288" s="655"/>
      <c r="J288" s="607" t="s">
        <v>2462</v>
      </c>
      <c r="L288" s="607" t="s">
        <v>2463</v>
      </c>
      <c r="M288" s="607" t="s">
        <v>2464</v>
      </c>
      <c r="N288" s="607" t="s">
        <v>2465</v>
      </c>
      <c r="O288" s="607" t="s">
        <v>2466</v>
      </c>
      <c r="P288" s="607" t="s">
        <v>2467</v>
      </c>
      <c r="Q288" s="607" t="s">
        <v>2468</v>
      </c>
      <c r="R288" s="607" t="s">
        <v>2469</v>
      </c>
    </row>
    <row r="289" spans="2:14" s="607" customFormat="1" ht="15.75" customHeight="1">
      <c r="B289" s="617" t="str">
        <f t="shared" si="4"/>
        <v>Results:</v>
      </c>
      <c r="C289" s="601" t="s">
        <v>374</v>
      </c>
      <c r="D289" s="601" t="s">
        <v>808</v>
      </c>
      <c r="E289" s="602" t="s">
        <v>991</v>
      </c>
      <c r="F289" s="662" t="s">
        <v>3056</v>
      </c>
      <c r="G289" s="616"/>
      <c r="H289" s="655"/>
      <c r="J289" s="607" t="s">
        <v>2470</v>
      </c>
    </row>
    <row r="290" spans="2:14" s="607" customFormat="1" ht="15.75" customHeight="1">
      <c r="B290" s="617" t="str">
        <f t="shared" si="4"/>
        <v>Class</v>
      </c>
      <c r="C290" s="601" t="s">
        <v>181</v>
      </c>
      <c r="D290" s="601" t="s">
        <v>809</v>
      </c>
      <c r="E290" s="602" t="s">
        <v>992</v>
      </c>
      <c r="F290" s="662" t="s">
        <v>3057</v>
      </c>
      <c r="G290" s="616"/>
      <c r="H290" s="655"/>
      <c r="J290" s="607" t="s">
        <v>2471</v>
      </c>
    </row>
    <row r="291" spans="2:14" s="607" customFormat="1" ht="15.75" customHeight="1">
      <c r="B291" s="617" t="str">
        <f t="shared" si="4"/>
        <v>Sum of Weighting Values (Vws)</v>
      </c>
      <c r="C291" s="601" t="s">
        <v>501</v>
      </c>
      <c r="D291" s="601" t="s">
        <v>805</v>
      </c>
      <c r="E291" s="602" t="s">
        <v>989</v>
      </c>
      <c r="F291" s="662" t="s">
        <v>3058</v>
      </c>
      <c r="G291" s="616"/>
      <c r="H291" s="655"/>
      <c r="J291" s="607" t="s">
        <v>2472</v>
      </c>
    </row>
    <row r="292" spans="2:14" s="607" customFormat="1" ht="15.75" customHeight="1">
      <c r="B292" s="617" t="str">
        <f t="shared" si="4"/>
        <v>Meets Illuminance?</v>
      </c>
      <c r="C292" s="601" t="s">
        <v>60</v>
      </c>
      <c r="D292" s="601" t="s">
        <v>1336</v>
      </c>
      <c r="E292" s="602" t="s">
        <v>993</v>
      </c>
      <c r="F292" s="662" t="s">
        <v>3059</v>
      </c>
      <c r="G292" s="616"/>
      <c r="H292" s="655"/>
      <c r="J292" s="607" t="s">
        <v>2473</v>
      </c>
      <c r="L292" s="607" t="s">
        <v>2474</v>
      </c>
    </row>
    <row r="293" spans="2:14" s="607" customFormat="1" ht="15.75" customHeight="1">
      <c r="B293" s="617" t="str">
        <f t="shared" si="4"/>
        <v>Target - Average Luminance</v>
      </c>
      <c r="C293" s="601" t="s">
        <v>840</v>
      </c>
      <c r="D293" s="601" t="s">
        <v>810</v>
      </c>
      <c r="E293" s="602" t="s">
        <v>994</v>
      </c>
      <c r="F293" s="662" t="s">
        <v>3060</v>
      </c>
      <c r="G293" s="616"/>
      <c r="H293" s="655"/>
      <c r="J293" s="607" t="s">
        <v>2475</v>
      </c>
      <c r="L293" s="607" t="s">
        <v>2476</v>
      </c>
    </row>
    <row r="294" spans="2:14" s="607" customFormat="1" ht="15.75" customHeight="1">
      <c r="B294" s="617" t="str">
        <f t="shared" si="4"/>
        <v>Target - Uniformity (average/minimum)</v>
      </c>
      <c r="C294" s="601" t="s">
        <v>1193</v>
      </c>
      <c r="D294" s="601" t="s">
        <v>1221</v>
      </c>
      <c r="E294" s="602" t="s">
        <v>1590</v>
      </c>
      <c r="F294" s="662" t="s">
        <v>3061</v>
      </c>
      <c r="G294" s="616"/>
      <c r="H294" s="655"/>
      <c r="J294" s="607" t="s">
        <v>2477</v>
      </c>
      <c r="L294" s="607" t="s">
        <v>2478</v>
      </c>
      <c r="M294" s="607" t="s">
        <v>2479</v>
      </c>
      <c r="N294" s="607" t="s">
        <v>2480</v>
      </c>
    </row>
    <row r="295" spans="2:14" s="607" customFormat="1" ht="15.75" customHeight="1">
      <c r="B295" s="617" t="str">
        <f t="shared" si="4"/>
        <v>Target - Uniformity (maximum/minimum)</v>
      </c>
      <c r="C295" s="601" t="s">
        <v>1194</v>
      </c>
      <c r="D295" s="601" t="s">
        <v>1222</v>
      </c>
      <c r="E295" s="602" t="s">
        <v>1591</v>
      </c>
      <c r="F295" s="662" t="s">
        <v>3062</v>
      </c>
      <c r="G295" s="616"/>
      <c r="H295" s="655"/>
      <c r="J295" s="607" t="s">
        <v>2481</v>
      </c>
    </row>
    <row r="296" spans="2:14" s="607" customFormat="1" ht="15.75" customHeight="1">
      <c r="B296" s="617" t="str">
        <f t="shared" si="4"/>
        <v>Meets Ill. Criteria</v>
      </c>
      <c r="C296" s="601" t="s">
        <v>61</v>
      </c>
      <c r="D296" s="601" t="s">
        <v>811</v>
      </c>
      <c r="E296" s="602" t="s">
        <v>995</v>
      </c>
      <c r="F296" s="662" t="s">
        <v>3063</v>
      </c>
      <c r="G296" s="616"/>
      <c r="H296" s="655"/>
      <c r="J296" s="607" t="s">
        <v>2482</v>
      </c>
      <c r="L296" s="607" t="s">
        <v>2483</v>
      </c>
    </row>
    <row r="297" spans="2:14" s="607" customFormat="1" ht="15.75" customHeight="1">
      <c r="B297" s="617" t="str">
        <f t="shared" si="4"/>
        <v>Fails Ill. Criteria</v>
      </c>
      <c r="C297" s="601" t="s">
        <v>62</v>
      </c>
      <c r="D297" s="601" t="s">
        <v>812</v>
      </c>
      <c r="E297" s="602" t="s">
        <v>996</v>
      </c>
      <c r="F297" s="662" t="s">
        <v>3063</v>
      </c>
      <c r="G297" s="616"/>
      <c r="H297" s="655"/>
      <c r="J297" s="607" t="s">
        <v>2484</v>
      </c>
      <c r="L297" s="607" t="s">
        <v>2485</v>
      </c>
    </row>
    <row r="298" spans="2:14" s="607" customFormat="1" ht="15.75" customHeight="1">
      <c r="B298" s="617" t="str">
        <f t="shared" si="4"/>
        <v>Pole Setback</v>
      </c>
      <c r="C298" s="601" t="s">
        <v>3</v>
      </c>
      <c r="D298" s="601" t="s">
        <v>813</v>
      </c>
      <c r="E298" s="602" t="s">
        <v>997</v>
      </c>
      <c r="F298" s="662" t="s">
        <v>3064</v>
      </c>
      <c r="G298" s="616"/>
      <c r="H298" s="655"/>
      <c r="J298" s="607" t="s">
        <v>2486</v>
      </c>
      <c r="L298" s="607" t="s">
        <v>2487</v>
      </c>
      <c r="M298" s="607" t="s">
        <v>2488</v>
      </c>
      <c r="N298" s="607" t="s">
        <v>2489</v>
      </c>
    </row>
    <row r="299" spans="2:14" s="607" customFormat="1" ht="15.75" customHeight="1">
      <c r="B299" s="617" t="s">
        <v>502</v>
      </c>
      <c r="C299" s="601" t="s">
        <v>502</v>
      </c>
      <c r="D299" s="601" t="s">
        <v>818</v>
      </c>
      <c r="E299" s="602" t="s">
        <v>998</v>
      </c>
      <c r="F299" s="662" t="s">
        <v>3065</v>
      </c>
      <c r="G299" s="616"/>
      <c r="H299" s="655"/>
      <c r="I299" s="607" t="s">
        <v>2490</v>
      </c>
    </row>
    <row r="300" spans="2:14" s="607" customFormat="1" ht="15.75" customHeight="1">
      <c r="B300" s="617" t="s">
        <v>503</v>
      </c>
      <c r="C300" s="601" t="s">
        <v>503</v>
      </c>
      <c r="D300" s="601" t="s">
        <v>819</v>
      </c>
      <c r="E300" s="602" t="s">
        <v>999</v>
      </c>
      <c r="F300" s="662" t="s">
        <v>3066</v>
      </c>
      <c r="G300" s="616"/>
      <c r="H300" s="655"/>
      <c r="I300" s="607" t="s">
        <v>2491</v>
      </c>
    </row>
    <row r="301" spans="2:14" s="607" customFormat="1" ht="15.75" customHeight="1">
      <c r="B301" s="617" t="s">
        <v>504</v>
      </c>
      <c r="C301" s="601" t="s">
        <v>504</v>
      </c>
      <c r="D301" s="601" t="s">
        <v>820</v>
      </c>
      <c r="E301" s="602" t="s">
        <v>1000</v>
      </c>
      <c r="F301" s="662" t="s">
        <v>3067</v>
      </c>
      <c r="G301" s="616"/>
      <c r="H301" s="655"/>
      <c r="I301" s="607" t="s">
        <v>2492</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505</v>
      </c>
      <c r="D302" s="601" t="s">
        <v>821</v>
      </c>
      <c r="E302" s="602" t="s">
        <v>1592</v>
      </c>
      <c r="F302" s="662" t="s">
        <v>3068</v>
      </c>
      <c r="G302" s="616"/>
      <c r="H302" s="655"/>
      <c r="I302" s="607" t="s">
        <v>2493</v>
      </c>
    </row>
    <row r="303" spans="2:14" s="607" customFormat="1" ht="15.75" customHeight="1">
      <c r="B303" s="617" t="str">
        <f t="shared" si="5"/>
        <v>Enter the Fixture Reference Name</v>
      </c>
      <c r="C303" s="601" t="s">
        <v>506</v>
      </c>
      <c r="D303" s="601" t="s">
        <v>822</v>
      </c>
      <c r="E303" s="602" t="s">
        <v>1593</v>
      </c>
      <c r="F303" s="662" t="s">
        <v>3069</v>
      </c>
      <c r="G303" s="616"/>
      <c r="H303" s="655"/>
      <c r="I303" s="607" t="s">
        <v>2494</v>
      </c>
    </row>
    <row r="304" spans="2:14" s="607" customFormat="1" ht="15.75" customHeight="1">
      <c r="B304" s="617" t="str">
        <f t="shared" si="5"/>
        <v>Fixture Reference Name</v>
      </c>
      <c r="C304" s="601" t="s">
        <v>296</v>
      </c>
      <c r="D304" s="601" t="s">
        <v>823</v>
      </c>
      <c r="E304" s="602" t="s">
        <v>1594</v>
      </c>
      <c r="F304" s="662" t="s">
        <v>3070</v>
      </c>
      <c r="G304" s="616"/>
      <c r="H304" s="655"/>
      <c r="I304" s="607" t="s">
        <v>2495</v>
      </c>
    </row>
    <row r="305" spans="2:10" s="607" customFormat="1" ht="15.75" customHeight="1">
      <c r="B305" s="617" t="str">
        <f t="shared" si="5"/>
        <v>New Fixture Name</v>
      </c>
      <c r="C305" s="601" t="s">
        <v>507</v>
      </c>
      <c r="D305" s="601" t="s">
        <v>824</v>
      </c>
      <c r="E305" s="602" t="s">
        <v>1595</v>
      </c>
      <c r="F305" s="662" t="s">
        <v>3071</v>
      </c>
      <c r="G305" s="616"/>
      <c r="H305" s="655"/>
      <c r="I305" s="607" t="s">
        <v>2496</v>
      </c>
    </row>
    <row r="306" spans="2:10" s="607" customFormat="1" ht="15.75" customHeight="1">
      <c r="B306" s="617" t="str">
        <f t="shared" si="5"/>
        <v>Enter the Fixture Type</v>
      </c>
      <c r="C306" s="601" t="s">
        <v>508</v>
      </c>
      <c r="D306" s="601" t="s">
        <v>825</v>
      </c>
      <c r="E306" s="602" t="s">
        <v>1596</v>
      </c>
      <c r="F306" s="662" t="s">
        <v>3072</v>
      </c>
      <c r="G306" s="616"/>
      <c r="H306" s="655"/>
      <c r="I306" s="607" t="s">
        <v>2497</v>
      </c>
    </row>
    <row r="307" spans="2:10" s="607" customFormat="1" ht="15.75" customHeight="1">
      <c r="B307" s="617" t="str">
        <f t="shared" si="5"/>
        <v>Fixture Type</v>
      </c>
      <c r="C307" s="601" t="s">
        <v>509</v>
      </c>
      <c r="D307" s="601" t="s">
        <v>826</v>
      </c>
      <c r="E307" s="602" t="s">
        <v>1597</v>
      </c>
      <c r="F307" s="662" t="s">
        <v>3073</v>
      </c>
      <c r="G307" s="616"/>
      <c r="H307" s="655"/>
      <c r="I307" s="607" t="s">
        <v>2498</v>
      </c>
    </row>
    <row r="308" spans="2:10" s="607" customFormat="1" ht="15.75" customHeight="1">
      <c r="B308" s="617" t="str">
        <f t="shared" si="5"/>
        <v>Fixture type must be LED or HPS - please try again</v>
      </c>
      <c r="C308" s="601" t="s">
        <v>510</v>
      </c>
      <c r="D308" s="601" t="s">
        <v>827</v>
      </c>
      <c r="E308" s="602" t="s">
        <v>1598</v>
      </c>
      <c r="F308" s="662" t="s">
        <v>3074</v>
      </c>
      <c r="G308" s="616"/>
      <c r="H308" s="655"/>
      <c r="I308" s="607" t="s">
        <v>2499</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1049</v>
      </c>
      <c r="D309" s="601" t="s">
        <v>1158</v>
      </c>
      <c r="E309" s="601" t="s">
        <v>1599</v>
      </c>
      <c r="F309" s="662" t="s">
        <v>3075</v>
      </c>
      <c r="G309" s="616"/>
      <c r="H309" s="655"/>
      <c r="I309" s="607" t="s">
        <v>2500</v>
      </c>
    </row>
    <row r="310" spans="2:10" s="607" customFormat="1" ht="15.75" customHeight="1">
      <c r="B310" s="617" t="str">
        <f t="shared" si="5"/>
        <v>Do you want to clear the saved results before adding new ones?</v>
      </c>
      <c r="C310" s="601" t="s">
        <v>1097</v>
      </c>
      <c r="D310" s="601" t="s">
        <v>1932</v>
      </c>
      <c r="E310" s="601" t="s">
        <v>1227</v>
      </c>
      <c r="F310" s="662" t="s">
        <v>3076</v>
      </c>
      <c r="G310" s="616"/>
      <c r="H310" s="655"/>
      <c r="I310" s="607" t="s">
        <v>2501</v>
      </c>
    </row>
    <row r="311" spans="2:10" s="607" customFormat="1" ht="15.75" customHeight="1">
      <c r="B311" s="617" t="str">
        <f t="shared" si="5"/>
        <v>1) Select fixture data to remove from the tool:</v>
      </c>
      <c r="C311" s="601" t="s">
        <v>582</v>
      </c>
      <c r="D311" s="601" t="s">
        <v>830</v>
      </c>
      <c r="E311" s="601" t="s">
        <v>1601</v>
      </c>
      <c r="F311" s="662" t="s">
        <v>3077</v>
      </c>
      <c r="G311" s="616"/>
      <c r="H311" s="655"/>
      <c r="J311" s="607" t="s">
        <v>2502</v>
      </c>
    </row>
    <row r="312" spans="2:10" s="607" customFormat="1" ht="15.75" customHeight="1">
      <c r="B312" s="617" t="str">
        <f t="shared" si="5"/>
        <v>Selected File:</v>
      </c>
      <c r="C312" s="601" t="s">
        <v>578</v>
      </c>
      <c r="D312" s="601" t="s">
        <v>831</v>
      </c>
      <c r="E312" s="601" t="s">
        <v>1002</v>
      </c>
      <c r="F312" s="662" t="s">
        <v>3078</v>
      </c>
      <c r="G312" s="616"/>
      <c r="H312" s="655"/>
      <c r="J312" s="607" t="s">
        <v>2503</v>
      </c>
    </row>
    <row r="313" spans="2:10" s="607" customFormat="1" ht="15.75" customHeight="1">
      <c r="B313" s="617" t="str">
        <f t="shared" si="5"/>
        <v>2) Confirm deletion (cannot be undone)</v>
      </c>
      <c r="C313" s="601" t="s">
        <v>579</v>
      </c>
      <c r="D313" s="601" t="s">
        <v>832</v>
      </c>
      <c r="E313" s="601" t="s">
        <v>1003</v>
      </c>
      <c r="F313" s="662" t="s">
        <v>3079</v>
      </c>
      <c r="G313" s="616"/>
      <c r="H313" s="655"/>
      <c r="J313" s="607" t="s">
        <v>2504</v>
      </c>
    </row>
    <row r="314" spans="2:10" s="607" customFormat="1" ht="15.75" customHeight="1">
      <c r="B314" s="617" t="str">
        <f t="shared" si="5"/>
        <v>Have comments or feedback? Send an email to sltoolkit@superefficient.org</v>
      </c>
      <c r="C314" s="603" t="s">
        <v>1933</v>
      </c>
      <c r="D314" s="601" t="s">
        <v>834</v>
      </c>
      <c r="E314" s="603" t="s">
        <v>1004</v>
      </c>
      <c r="F314" s="662" t="s">
        <v>3302</v>
      </c>
      <c r="G314" s="616"/>
      <c r="H314" s="655"/>
      <c r="J314" s="607" t="s">
        <v>2505</v>
      </c>
    </row>
    <row r="315" spans="2:10" s="607" customFormat="1" ht="15.75" customHeight="1">
      <c r="B315" s="617" t="str">
        <f t="shared" si="5"/>
        <v>This tool and accompanying street lighting technology profile are available at www.superefficient.org</v>
      </c>
      <c r="C315" s="603" t="s">
        <v>547</v>
      </c>
      <c r="D315" s="601" t="s">
        <v>835</v>
      </c>
      <c r="E315" s="603" t="s">
        <v>1603</v>
      </c>
      <c r="F315" s="662" t="s">
        <v>3080</v>
      </c>
      <c r="G315" s="616"/>
      <c r="H315" s="655"/>
      <c r="J315" s="607" t="s">
        <v>2506</v>
      </c>
    </row>
    <row r="316" spans="2:10" s="607" customFormat="1" ht="15.75" customHeight="1">
      <c r="B316" s="617" t="str">
        <f t="shared" si="5"/>
        <v>Provide the full path of where the file is located on your computer, including the filename.ies</v>
      </c>
      <c r="C316" s="601" t="s">
        <v>540</v>
      </c>
      <c r="D316" s="601" t="s">
        <v>841</v>
      </c>
      <c r="E316" s="601" t="s">
        <v>1604</v>
      </c>
      <c r="F316" s="662" t="s">
        <v>3081</v>
      </c>
      <c r="G316" s="616"/>
      <c r="H316" s="655"/>
      <c r="J316" s="607" t="s">
        <v>2507</v>
      </c>
    </row>
    <row r="317" spans="2:10" s="607" customFormat="1" ht="15.75" customHeight="1">
      <c r="B317" s="617" t="str">
        <f t="shared" si="5"/>
        <v>Enter a unique name you can use to identify the fixture</v>
      </c>
      <c r="C317" s="601" t="s">
        <v>538</v>
      </c>
      <c r="D317" s="601" t="s">
        <v>842</v>
      </c>
      <c r="E317" s="601" t="s">
        <v>1605</v>
      </c>
      <c r="F317" s="662" t="s">
        <v>3082</v>
      </c>
      <c r="G317" s="616"/>
      <c r="H317" s="655"/>
      <c r="J317" s="607" t="s">
        <v>2508</v>
      </c>
    </row>
    <row r="318" spans="2:10" s="607" customFormat="1" ht="15.75" customHeight="1">
      <c r="B318" s="617" t="str">
        <f t="shared" si="5"/>
        <v>Enter the fixture type</v>
      </c>
      <c r="C318" s="601" t="s">
        <v>539</v>
      </c>
      <c r="D318" s="601" t="s">
        <v>825</v>
      </c>
      <c r="E318" s="601" t="s">
        <v>1606</v>
      </c>
      <c r="F318" s="662" t="s">
        <v>3083</v>
      </c>
      <c r="G318" s="616"/>
      <c r="H318" s="655"/>
      <c r="J318" s="607" t="s">
        <v>2509</v>
      </c>
    </row>
    <row r="319" spans="2:10" s="607" customFormat="1" ht="15.75" customHeight="1">
      <c r="B319" s="617" t="str">
        <f t="shared" si="5"/>
        <v>Filepath</v>
      </c>
      <c r="C319" s="601" t="s">
        <v>295</v>
      </c>
      <c r="D319" s="601" t="s">
        <v>843</v>
      </c>
      <c r="E319" s="601" t="s">
        <v>1607</v>
      </c>
      <c r="F319" s="662" t="s">
        <v>3084</v>
      </c>
      <c r="G319" s="616"/>
      <c r="H319" s="655"/>
      <c r="J319" s="607" t="s">
        <v>2510</v>
      </c>
    </row>
    <row r="320" spans="2:10" s="607" customFormat="1" ht="15.75" customHeight="1">
      <c r="B320" s="617" t="str">
        <f t="shared" si="5"/>
        <v>Fixture Reference Name</v>
      </c>
      <c r="C320" s="601" t="s">
        <v>296</v>
      </c>
      <c r="D320" s="601" t="s">
        <v>823</v>
      </c>
      <c r="E320" s="601" t="s">
        <v>1608</v>
      </c>
      <c r="F320" s="662" t="s">
        <v>3085</v>
      </c>
      <c r="G320" s="616"/>
      <c r="H320" s="655"/>
      <c r="J320" s="607" t="s">
        <v>2511</v>
      </c>
    </row>
    <row r="321" spans="2:13" s="607" customFormat="1" ht="15.75" customHeight="1">
      <c r="B321" s="617" t="str">
        <f t="shared" si="5"/>
        <v>Fixture Type (HPS, MH or LED)</v>
      </c>
      <c r="C321" s="601" t="s">
        <v>537</v>
      </c>
      <c r="D321" s="601" t="s">
        <v>1721</v>
      </c>
      <c r="E321" s="601" t="s">
        <v>1609</v>
      </c>
      <c r="F321" s="662" t="s">
        <v>3086</v>
      </c>
      <c r="G321" s="616"/>
      <c r="H321" s="655"/>
      <c r="J321" s="607" t="s">
        <v>2512</v>
      </c>
    </row>
    <row r="322" spans="2:13" s="607" customFormat="1" ht="15.75" customHeight="1">
      <c r="B322" s="617" t="str">
        <f t="shared" si="5"/>
        <v>Use this sheet to load IES files</v>
      </c>
      <c r="C322" s="601" t="s">
        <v>1682</v>
      </c>
      <c r="D322" s="601" t="s">
        <v>1683</v>
      </c>
      <c r="E322" s="601" t="s">
        <v>1684</v>
      </c>
      <c r="F322" s="662" t="s">
        <v>3087</v>
      </c>
      <c r="G322" s="616"/>
      <c r="H322" s="655"/>
      <c r="J322" s="607" t="s">
        <v>2513</v>
      </c>
    </row>
    <row r="323" spans="2:13" s="607" customFormat="1" ht="15.75" customHeight="1">
      <c r="B323" s="617" t="str">
        <f t="shared" si="5"/>
        <v>Baseline</v>
      </c>
      <c r="C323" s="603" t="s">
        <v>22</v>
      </c>
      <c r="D323" s="601" t="s">
        <v>770</v>
      </c>
      <c r="E323" s="601" t="s">
        <v>1610</v>
      </c>
      <c r="F323" s="662" t="s">
        <v>3088</v>
      </c>
      <c r="G323" s="616"/>
      <c r="H323" s="655"/>
      <c r="I323" s="607" t="s">
        <v>2514</v>
      </c>
    </row>
    <row r="324" spans="2:13" s="607" customFormat="1" ht="15.75" customHeight="1">
      <c r="B324" s="617" t="str">
        <f t="shared" si="5"/>
        <v>Installation Cost ($/fixture)</v>
      </c>
      <c r="C324" s="603" t="s">
        <v>1065</v>
      </c>
      <c r="D324" s="603" t="s">
        <v>1159</v>
      </c>
      <c r="E324" s="601" t="s">
        <v>1611</v>
      </c>
      <c r="F324" s="662" t="s">
        <v>3089</v>
      </c>
      <c r="G324" s="616"/>
      <c r="H324" s="655"/>
      <c r="J324" s="607" t="s">
        <v>2515</v>
      </c>
      <c r="L324" s="607" t="s">
        <v>2516</v>
      </c>
      <c r="M324" s="607" t="s">
        <v>2517</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1109</v>
      </c>
      <c r="D325" s="601" t="s">
        <v>1878</v>
      </c>
      <c r="E325" s="601" t="s">
        <v>1612</v>
      </c>
      <c r="F325" s="662" t="s">
        <v>3320</v>
      </c>
      <c r="G325" s="616"/>
      <c r="H325" s="655"/>
      <c r="J325" s="607" t="s">
        <v>2518</v>
      </c>
    </row>
    <row r="326" spans="2:13" s="607" customFormat="1" ht="15.75" customHeight="1">
      <c r="B326" s="617" t="str">
        <f t="shared" si="5"/>
        <v>Energy Cost</v>
      </c>
      <c r="C326" s="603" t="s">
        <v>1007</v>
      </c>
      <c r="D326" s="604" t="s">
        <v>1023</v>
      </c>
      <c r="E326" s="601" t="s">
        <v>1934</v>
      </c>
      <c r="F326" s="662" t="s">
        <v>3090</v>
      </c>
      <c r="G326" s="616"/>
      <c r="H326" s="655"/>
      <c r="J326" s="607" t="s">
        <v>2519</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1008</v>
      </c>
      <c r="D327" s="604" t="s">
        <v>1024</v>
      </c>
      <c r="E327" s="601" t="s">
        <v>1613</v>
      </c>
      <c r="F327" s="662" t="s">
        <v>3327</v>
      </c>
      <c r="G327" s="616"/>
      <c r="H327" s="655"/>
      <c r="J327" s="607" t="s">
        <v>2520</v>
      </c>
    </row>
    <row r="328" spans="2:13" s="607" customFormat="1" ht="15.75" customHeight="1">
      <c r="B328" s="617" t="str">
        <f t="shared" si="5"/>
        <v>Discount Rate</v>
      </c>
      <c r="C328" s="603" t="s">
        <v>89</v>
      </c>
      <c r="D328" s="604" t="s">
        <v>787</v>
      </c>
      <c r="E328" s="601" t="s">
        <v>1009</v>
      </c>
      <c r="F328" s="662" t="s">
        <v>3091</v>
      </c>
      <c r="G328" s="616"/>
      <c r="H328" s="655"/>
      <c r="J328" s="607" t="s">
        <v>2521</v>
      </c>
    </row>
    <row r="329" spans="2:13" s="607" customFormat="1" ht="15.75" customHeight="1">
      <c r="B329" s="617" t="str">
        <f t="shared" si="5"/>
        <v xml:space="preserve">Enter the assumed discount rate for calculating the net present value of future energy and maintenance cost savings
</v>
      </c>
      <c r="C329" s="603" t="s">
        <v>1116</v>
      </c>
      <c r="D329" s="604" t="s">
        <v>1025</v>
      </c>
      <c r="E329" s="601" t="s">
        <v>1243</v>
      </c>
      <c r="F329" s="662" t="s">
        <v>3092</v>
      </c>
      <c r="G329" s="616"/>
      <c r="H329" s="655"/>
      <c r="J329" s="607" t="s">
        <v>2522</v>
      </c>
    </row>
    <row r="330" spans="2:13" s="607" customFormat="1" ht="15.75" customHeight="1">
      <c r="B330" s="617" t="str">
        <f t="shared" si="5"/>
        <v>Analysis Period</v>
      </c>
      <c r="C330" s="603" t="s">
        <v>1010</v>
      </c>
      <c r="D330" s="604" t="s">
        <v>1026</v>
      </c>
      <c r="E330" s="601" t="s">
        <v>1011</v>
      </c>
      <c r="F330" s="662" t="s">
        <v>3093</v>
      </c>
      <c r="G330" s="616"/>
      <c r="H330" s="655"/>
      <c r="J330" s="607" t="s">
        <v>2523</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1012</v>
      </c>
      <c r="D331" s="604" t="s">
        <v>1027</v>
      </c>
      <c r="E331" s="601" t="s">
        <v>1614</v>
      </c>
      <c r="F331" s="662" t="s">
        <v>3094</v>
      </c>
      <c r="G331" s="616"/>
      <c r="H331" s="655"/>
      <c r="J331" s="607" t="s">
        <v>2524</v>
      </c>
    </row>
    <row r="332" spans="2:13" s="607" customFormat="1" ht="15.75" customHeight="1">
      <c r="B332" s="617" t="str">
        <f t="shared" si="5"/>
        <v>Number of Lanes</v>
      </c>
      <c r="C332" s="603" t="s">
        <v>5</v>
      </c>
      <c r="D332" s="604" t="s">
        <v>673</v>
      </c>
      <c r="E332" s="601" t="s">
        <v>1935</v>
      </c>
      <c r="F332" s="662" t="s">
        <v>2890</v>
      </c>
      <c r="G332" s="616"/>
      <c r="H332" s="655"/>
      <c r="J332" s="607" t="s">
        <v>2525</v>
      </c>
    </row>
    <row r="333" spans="2:13" s="607" customFormat="1" ht="15.75" customHeight="1">
      <c r="B333" s="617" t="str">
        <f t="shared" si="5"/>
        <v xml:space="preserve">Indicate the total number of lanes (both travel directions)
</v>
      </c>
      <c r="C333" s="601" t="s">
        <v>1013</v>
      </c>
      <c r="D333" s="604" t="s">
        <v>1028</v>
      </c>
      <c r="E333" s="601" t="s">
        <v>1615</v>
      </c>
      <c r="F333" s="662" t="s">
        <v>3095</v>
      </c>
      <c r="G333" s="616"/>
      <c r="H333" s="655"/>
      <c r="J333" s="607" t="s">
        <v>2526</v>
      </c>
    </row>
    <row r="334" spans="2:13" s="607" customFormat="1" ht="15.75" customHeight="1">
      <c r="B334" s="617" t="str">
        <f t="shared" si="5"/>
        <v>Lane Width</v>
      </c>
      <c r="C334" s="601" t="s">
        <v>6</v>
      </c>
      <c r="D334" s="604" t="s">
        <v>1029</v>
      </c>
      <c r="E334" s="601" t="s">
        <v>1014</v>
      </c>
      <c r="F334" s="662" t="s">
        <v>3096</v>
      </c>
      <c r="G334" s="616"/>
      <c r="H334" s="655"/>
      <c r="J334" s="607" t="s">
        <v>2527</v>
      </c>
    </row>
    <row r="335" spans="2:13" s="607" customFormat="1" ht="15.75" customHeight="1">
      <c r="B335" s="617" t="str">
        <f t="shared" si="5"/>
        <v xml:space="preserve">Indicate the width of each lane, in meters. All lanes are assumed to be the same width.
</v>
      </c>
      <c r="C335" s="601" t="s">
        <v>1015</v>
      </c>
      <c r="D335" s="604" t="s">
        <v>1030</v>
      </c>
      <c r="E335" s="601" t="s">
        <v>1616</v>
      </c>
      <c r="F335" s="662" t="s">
        <v>3097</v>
      </c>
      <c r="G335" s="616"/>
      <c r="H335" s="655"/>
      <c r="J335" s="607" t="s">
        <v>2528</v>
      </c>
    </row>
    <row r="336" spans="2:13" s="607" customFormat="1" ht="15.75" customHeight="1">
      <c r="B336" s="617" t="str">
        <f t="shared" si="5"/>
        <v>Median Width</v>
      </c>
      <c r="C336" s="601" t="s">
        <v>34</v>
      </c>
      <c r="D336" s="604" t="s">
        <v>1031</v>
      </c>
      <c r="E336" s="601" t="s">
        <v>1551</v>
      </c>
      <c r="F336" s="662" t="s">
        <v>3098</v>
      </c>
      <c r="G336" s="616"/>
      <c r="H336" s="655"/>
      <c r="J336" s="607" t="s">
        <v>2529</v>
      </c>
    </row>
    <row r="337" spans="2:13" s="607" customFormat="1" ht="15.75" customHeight="1">
      <c r="B337" s="617" t="str">
        <f t="shared" si="5"/>
        <v xml:space="preserve">Indicate the width of the median. If there is no median, use zero. 
</v>
      </c>
      <c r="C337" s="601" t="s">
        <v>1016</v>
      </c>
      <c r="D337" s="604" t="s">
        <v>1032</v>
      </c>
      <c r="E337" s="601" t="s">
        <v>1617</v>
      </c>
      <c r="F337" s="662" t="s">
        <v>3099</v>
      </c>
      <c r="G337" s="616"/>
      <c r="H337" s="655"/>
      <c r="J337" s="607" t="s">
        <v>2530</v>
      </c>
    </row>
    <row r="338" spans="2:13" s="607" customFormat="1" ht="15.75" customHeight="1">
      <c r="B338" s="617" t="str">
        <f t="shared" si="5"/>
        <v>Pole Placement</v>
      </c>
      <c r="C338" s="601" t="s">
        <v>15</v>
      </c>
      <c r="D338" s="604" t="s">
        <v>1033</v>
      </c>
      <c r="E338" s="601" t="s">
        <v>1618</v>
      </c>
      <c r="F338" s="662" t="s">
        <v>3100</v>
      </c>
      <c r="G338" s="616"/>
      <c r="H338" s="655"/>
      <c r="J338" s="607" t="s">
        <v>2531</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1247</v>
      </c>
      <c r="D339" s="604" t="s">
        <v>1034</v>
      </c>
      <c r="E339" s="601" t="s">
        <v>1936</v>
      </c>
      <c r="F339" s="665" t="s">
        <v>3101</v>
      </c>
      <c r="G339" s="616"/>
      <c r="H339" s="655"/>
      <c r="J339" s="607" t="s">
        <v>2532</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1017</v>
      </c>
      <c r="D340" s="604" t="s">
        <v>1035</v>
      </c>
      <c r="E340" s="601" t="s">
        <v>1937</v>
      </c>
      <c r="F340" s="661" t="s">
        <v>3102</v>
      </c>
      <c r="G340" s="616"/>
      <c r="H340" s="655"/>
      <c r="J340" s="607" t="s">
        <v>2533</v>
      </c>
    </row>
    <row r="341" spans="2:13" s="607" customFormat="1" ht="15.75" customHeight="1">
      <c r="B341" s="617" t="str">
        <f t="shared" si="5"/>
        <v>Pole Spacing</v>
      </c>
      <c r="C341" s="601" t="s">
        <v>2</v>
      </c>
      <c r="D341" s="604" t="s">
        <v>1036</v>
      </c>
      <c r="E341" s="601" t="s">
        <v>1619</v>
      </c>
      <c r="F341" s="663" t="s">
        <v>3031</v>
      </c>
      <c r="G341" s="616"/>
      <c r="H341" s="655"/>
      <c r="J341" s="607" t="s">
        <v>2534</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1018</v>
      </c>
      <c r="D342" s="604" t="s">
        <v>1037</v>
      </c>
      <c r="E342" s="601" t="s">
        <v>1620</v>
      </c>
      <c r="F342" s="661" t="s">
        <v>3103</v>
      </c>
      <c r="G342" s="616"/>
      <c r="H342" s="655"/>
      <c r="J342" s="607" t="s">
        <v>2535</v>
      </c>
    </row>
    <row r="343" spans="2:13" s="607" customFormat="1" ht="15.75" customHeight="1">
      <c r="B343" s="617" t="str">
        <f t="shared" si="5"/>
        <v>Pole Setback</v>
      </c>
      <c r="C343" s="601" t="s">
        <v>3</v>
      </c>
      <c r="D343" s="604" t="s">
        <v>1038</v>
      </c>
      <c r="E343" s="602" t="s">
        <v>1621</v>
      </c>
      <c r="F343" s="661" t="s">
        <v>3104</v>
      </c>
      <c r="G343" s="616"/>
      <c r="H343" s="655"/>
      <c r="J343" s="607" t="s">
        <v>2536</v>
      </c>
    </row>
    <row r="344" spans="2:13" s="607" customFormat="1" ht="15.75" customHeight="1">
      <c r="B344" s="617" t="str">
        <f t="shared" si="5"/>
        <v xml:space="preserve">Distance from the pole mounting to the edge of the road. Only applies to single-side and staggered configurations. 
</v>
      </c>
      <c r="C344" s="601" t="s">
        <v>1019</v>
      </c>
      <c r="D344" s="604" t="s">
        <v>1039</v>
      </c>
      <c r="E344" s="601" t="s">
        <v>1622</v>
      </c>
      <c r="F344" s="662" t="s">
        <v>3105</v>
      </c>
      <c r="G344" s="616"/>
      <c r="H344" s="655"/>
      <c r="J344" s="607" t="s">
        <v>2537</v>
      </c>
    </row>
    <row r="345" spans="2:13" s="607" customFormat="1" ht="15.75" customHeight="1">
      <c r="B345" s="617" t="str">
        <f t="shared" si="5"/>
        <v>Arm Length</v>
      </c>
      <c r="C345" s="601" t="s">
        <v>1020</v>
      </c>
      <c r="D345" s="604" t="s">
        <v>1040</v>
      </c>
      <c r="E345" s="601" t="s">
        <v>891</v>
      </c>
      <c r="F345" s="661" t="s">
        <v>3106</v>
      </c>
      <c r="G345" s="616"/>
      <c r="H345" s="655"/>
      <c r="J345" s="607" t="s">
        <v>2538</v>
      </c>
    </row>
    <row r="346" spans="2:13" s="607" customFormat="1" ht="15.75" customHeight="1">
      <c r="B346" s="617" t="str">
        <f t="shared" si="5"/>
        <v>Number of Points in Grid</v>
      </c>
      <c r="C346" s="601" t="s">
        <v>35</v>
      </c>
      <c r="D346" s="604" t="s">
        <v>1042</v>
      </c>
      <c r="E346" s="601" t="s">
        <v>1022</v>
      </c>
      <c r="F346" s="662" t="s">
        <v>3107</v>
      </c>
      <c r="G346" s="616"/>
      <c r="H346" s="655"/>
      <c r="J346" s="607" t="s">
        <v>2539</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1021</v>
      </c>
      <c r="D347" s="604" t="s">
        <v>1043</v>
      </c>
      <c r="E347" s="601" t="s">
        <v>1938</v>
      </c>
      <c r="F347" s="661" t="s">
        <v>3108</v>
      </c>
      <c r="G347" s="616"/>
      <c r="H347" s="655"/>
      <c r="J347" s="607" t="s">
        <v>2540</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1058</v>
      </c>
      <c r="D348" s="601" t="s">
        <v>1160</v>
      </c>
      <c r="E348" s="601" t="s">
        <v>1228</v>
      </c>
      <c r="F348" s="662" t="s">
        <v>3109</v>
      </c>
      <c r="G348" s="616"/>
      <c r="H348" s="655"/>
    </row>
    <row r="349" spans="2:13" s="607" customFormat="1" ht="15.75" customHeight="1">
      <c r="B349" s="617" t="str">
        <f t="shared" si="5"/>
        <v>(for information only)</v>
      </c>
      <c r="C349" s="601" t="s">
        <v>1059</v>
      </c>
      <c r="D349" s="601" t="s">
        <v>1939</v>
      </c>
      <c r="E349" s="601" t="s">
        <v>1229</v>
      </c>
      <c r="F349" s="661" t="s">
        <v>3110</v>
      </c>
      <c r="G349" s="616"/>
      <c r="H349" s="655"/>
      <c r="J349" s="607" t="s">
        <v>2541</v>
      </c>
    </row>
    <row r="350" spans="2:13" s="607" customFormat="1" ht="15.75" customHeight="1">
      <c r="B350" s="617" t="str">
        <f t="shared" si="5"/>
        <v>The assumptions below are the default costs used when adding a new IES file. They can be overwritten for each individual fixture on the 'Fixtures' tab</v>
      </c>
      <c r="C350" s="601" t="s">
        <v>1060</v>
      </c>
      <c r="D350" s="601" t="s">
        <v>1161</v>
      </c>
      <c r="E350" s="601" t="s">
        <v>1624</v>
      </c>
      <c r="F350" s="662" t="s">
        <v>3111</v>
      </c>
      <c r="G350" s="616"/>
      <c r="H350" s="655"/>
      <c r="J350" s="607" t="s">
        <v>2542</v>
      </c>
    </row>
    <row r="351" spans="2:13" s="607" customFormat="1" ht="15.75" customHeight="1">
      <c r="B351" s="617" t="str">
        <f t="shared" si="5"/>
        <v>and/or</v>
      </c>
      <c r="C351" s="601" t="s">
        <v>1061</v>
      </c>
      <c r="D351" s="601" t="s">
        <v>1879</v>
      </c>
      <c r="E351" s="601" t="s">
        <v>1230</v>
      </c>
      <c r="F351" s="662" t="s">
        <v>3112</v>
      </c>
      <c r="G351" s="616"/>
      <c r="H351" s="655"/>
    </row>
    <row r="352" spans="2:13" s="607" customFormat="1" ht="15.75" customHeight="1">
      <c r="B352" s="617" t="str">
        <f t="shared" si="5"/>
        <v>Equipment Cost ($/fixture)</v>
      </c>
      <c r="C352" s="601" t="s">
        <v>1064</v>
      </c>
      <c r="D352" s="601" t="s">
        <v>1880</v>
      </c>
      <c r="E352" s="601" t="s">
        <v>1625</v>
      </c>
      <c r="F352" s="662" t="s">
        <v>3113</v>
      </c>
      <c r="G352" s="616"/>
      <c r="H352" s="655"/>
      <c r="J352" s="607" t="s">
        <v>2543</v>
      </c>
      <c r="L352" s="607" t="s">
        <v>2544</v>
      </c>
      <c r="M352" s="607" t="s">
        <v>2545</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1110</v>
      </c>
      <c r="D353" s="601" t="s">
        <v>1881</v>
      </c>
      <c r="E353" s="601" t="s">
        <v>1626</v>
      </c>
      <c r="F353" s="662" t="s">
        <v>3321</v>
      </c>
      <c r="G353" s="616"/>
      <c r="H353" s="655"/>
      <c r="J353" s="607" t="s">
        <v>2546</v>
      </c>
    </row>
    <row r="354" spans="2:13" s="607" customFormat="1" ht="15.75" customHeight="1">
      <c r="B354" s="617" t="str">
        <f t="shared" si="5"/>
        <v>One-time Rebate or Subsidy ($/fixture)</v>
      </c>
      <c r="C354" s="601" t="s">
        <v>1066</v>
      </c>
      <c r="D354" s="601" t="s">
        <v>1882</v>
      </c>
      <c r="E354" s="601" t="s">
        <v>1627</v>
      </c>
      <c r="F354" s="662" t="s">
        <v>3114</v>
      </c>
      <c r="G354" s="616"/>
      <c r="H354" s="655"/>
      <c r="J354" s="607" t="s">
        <v>2547</v>
      </c>
      <c r="L354" s="607" t="s">
        <v>2548</v>
      </c>
      <c r="M354" s="607" t="s">
        <v>2549</v>
      </c>
    </row>
    <row r="355" spans="2:13" s="607" customFormat="1" ht="15.75" customHeight="1">
      <c r="B355" s="617" t="str">
        <f t="shared" si="5"/>
        <v xml:space="preserve">Enter any rebates or subsidies to be removed from the overall equipment cost on a per fixture basis. </v>
      </c>
      <c r="C355" s="601" t="s">
        <v>1111</v>
      </c>
      <c r="D355" s="601" t="s">
        <v>1883</v>
      </c>
      <c r="E355" s="601" t="s">
        <v>1628</v>
      </c>
      <c r="F355" s="662" t="s">
        <v>3115</v>
      </c>
      <c r="G355" s="616"/>
      <c r="H355" s="655"/>
      <c r="J355" s="607" t="s">
        <v>2550</v>
      </c>
    </row>
    <row r="356" spans="2:13" s="607" customFormat="1" ht="15.75" customHeight="1">
      <c r="B356" s="617" t="str">
        <f t="shared" si="5"/>
        <v>Annual Maintenance Cost ($/year)</v>
      </c>
      <c r="C356" s="601" t="s">
        <v>1067</v>
      </c>
      <c r="D356" s="601" t="s">
        <v>1884</v>
      </c>
      <c r="E356" s="601" t="s">
        <v>1231</v>
      </c>
      <c r="F356" s="662" t="s">
        <v>3316</v>
      </c>
      <c r="G356" s="616"/>
      <c r="H356" s="655"/>
      <c r="J356" s="607" t="s">
        <v>2551</v>
      </c>
      <c r="L356" s="607" t="s">
        <v>2552</v>
      </c>
      <c r="M356" s="607" t="s">
        <v>2553</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1112</v>
      </c>
      <c r="D357" s="601" t="s">
        <v>1162</v>
      </c>
      <c r="E357" s="601" t="s">
        <v>1629</v>
      </c>
      <c r="F357" s="662" t="s">
        <v>3322</v>
      </c>
      <c r="G357" s="616"/>
      <c r="H357" s="655"/>
      <c r="J357" s="607" t="s">
        <v>2554</v>
      </c>
    </row>
    <row r="358" spans="2:13" s="607" customFormat="1" ht="15.75" customHeight="1">
      <c r="B358" s="617" t="str">
        <f t="shared" si="5"/>
        <v>Maintenance inflation rate (%/year)</v>
      </c>
      <c r="C358" s="601" t="s">
        <v>1068</v>
      </c>
      <c r="D358" s="601" t="s">
        <v>1885</v>
      </c>
      <c r="E358" s="601" t="s">
        <v>1630</v>
      </c>
      <c r="F358" s="662" t="s">
        <v>3315</v>
      </c>
      <c r="G358" s="616"/>
      <c r="H358" s="655"/>
      <c r="J358" s="607" t="s">
        <v>2555</v>
      </c>
      <c r="L358" s="607" t="s">
        <v>2556</v>
      </c>
      <c r="M358" s="607" t="s">
        <v>2557</v>
      </c>
    </row>
    <row r="359" spans="2:13" s="607" customFormat="1" ht="15.75" customHeight="1">
      <c r="B359" s="617" t="str">
        <f t="shared" si="5"/>
        <v xml:space="preserve">Enter the estimated inflation rate of maintenance rates due to increased labor costs, etc. </v>
      </c>
      <c r="C359" s="601" t="s">
        <v>1113</v>
      </c>
      <c r="D359" s="601" t="s">
        <v>1163</v>
      </c>
      <c r="E359" s="601" t="s">
        <v>1631</v>
      </c>
      <c r="F359" s="662" t="s">
        <v>3323</v>
      </c>
      <c r="G359" s="616"/>
      <c r="H359" s="655"/>
      <c r="J359" s="607" t="s">
        <v>2558</v>
      </c>
    </row>
    <row r="360" spans="2:13" s="607" customFormat="1" ht="15.75" customHeight="1">
      <c r="B360" s="617" t="str">
        <f t="shared" si="5"/>
        <v>Lamp Lumen Depreciation</v>
      </c>
      <c r="C360" s="601" t="s">
        <v>96</v>
      </c>
      <c r="D360" s="601" t="s">
        <v>1886</v>
      </c>
      <c r="E360" s="601" t="s">
        <v>1632</v>
      </c>
      <c r="F360" s="662" t="s">
        <v>3001</v>
      </c>
      <c r="G360" s="616"/>
      <c r="H360" s="655"/>
      <c r="J360" s="607" t="s">
        <v>2559</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1114</v>
      </c>
      <c r="D361" s="601" t="s">
        <v>1164</v>
      </c>
      <c r="E361" s="601" t="s">
        <v>1633</v>
      </c>
      <c r="F361" s="662" t="s">
        <v>3324</v>
      </c>
      <c r="G361" s="616"/>
      <c r="H361" s="655"/>
      <c r="J361" s="607" t="s">
        <v>2560</v>
      </c>
    </row>
    <row r="362" spans="2:13" s="607" customFormat="1" ht="15.75" customHeight="1">
      <c r="B362" s="617" t="str">
        <f t="shared" si="5"/>
        <v>Luminaire Dirt Depreciation (design year)</v>
      </c>
      <c r="C362" s="601" t="s">
        <v>1080</v>
      </c>
      <c r="D362" s="601" t="s">
        <v>1887</v>
      </c>
      <c r="E362" s="602" t="s">
        <v>1634</v>
      </c>
      <c r="F362" s="662" t="s">
        <v>3116</v>
      </c>
      <c r="G362" s="616"/>
      <c r="H362" s="655"/>
      <c r="J362" s="607" t="s">
        <v>2561</v>
      </c>
      <c r="L362" s="607" t="s">
        <v>2562</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1115</v>
      </c>
      <c r="D363" s="601" t="s">
        <v>1165</v>
      </c>
      <c r="E363" s="601" t="s">
        <v>1635</v>
      </c>
      <c r="F363" s="662" t="s">
        <v>3325</v>
      </c>
      <c r="G363" s="616"/>
      <c r="H363" s="655"/>
      <c r="J363" s="607" t="s">
        <v>2563</v>
      </c>
    </row>
    <row r="364" spans="2:13" s="607" customFormat="1" ht="15.75" customHeight="1">
      <c r="B364" s="617" t="str">
        <f t="shared" si="5"/>
        <v>Desired fixture not available in the table below?</v>
      </c>
      <c r="C364" s="603" t="s">
        <v>1083</v>
      </c>
      <c r="D364" s="603" t="s">
        <v>1888</v>
      </c>
      <c r="E364" s="601" t="s">
        <v>1636</v>
      </c>
      <c r="F364" s="662" t="s">
        <v>3117</v>
      </c>
      <c r="G364" s="616"/>
      <c r="H364" s="655"/>
      <c r="J364" s="607" t="s">
        <v>2564</v>
      </c>
    </row>
    <row r="365" spans="2:13" s="607" customFormat="1" ht="15.75" customHeight="1">
      <c r="B365" s="617" t="str">
        <f t="shared" si="5"/>
        <v>IES files describe the light output of a fixture. You can obtain them from fixture manufacturers</v>
      </c>
      <c r="C365" s="603" t="s">
        <v>1085</v>
      </c>
      <c r="D365" s="603" t="s">
        <v>1166</v>
      </c>
      <c r="E365" s="601" t="s">
        <v>1637</v>
      </c>
      <c r="F365" s="662" t="s">
        <v>3118</v>
      </c>
      <c r="G365" s="616"/>
      <c r="H365" s="655"/>
      <c r="J365" s="607" t="s">
        <v>2565</v>
      </c>
      <c r="L365" s="607" t="s">
        <v>2566</v>
      </c>
    </row>
    <row r="366" spans="2:13" s="607" customFormat="1" ht="15.75" customHeight="1">
      <c r="B366" s="617" t="str">
        <f t="shared" ref="B366:B429" si="6">INDEX(C366:G366,MATCH($B$11,$C$11:$G$11,0))</f>
        <v>Need to remove a fixture?</v>
      </c>
      <c r="C366" s="603" t="s">
        <v>1084</v>
      </c>
      <c r="D366" s="603" t="s">
        <v>1167</v>
      </c>
      <c r="E366" s="601" t="s">
        <v>1638</v>
      </c>
      <c r="F366" s="662" t="s">
        <v>3119</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1733</v>
      </c>
      <c r="D367" s="601" t="s">
        <v>1734</v>
      </c>
      <c r="E367" s="601" t="s">
        <v>1736</v>
      </c>
      <c r="F367" s="661" t="s">
        <v>3120</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1738</v>
      </c>
      <c r="D368" s="603" t="s">
        <v>1735</v>
      </c>
      <c r="E368" s="601" t="s">
        <v>1737</v>
      </c>
      <c r="F368" s="662" t="s">
        <v>3308</v>
      </c>
      <c r="G368" s="616"/>
      <c r="H368" s="655"/>
      <c r="J368" s="607" t="s">
        <v>2567</v>
      </c>
    </row>
    <row r="369" spans="2:31" s="607" customFormat="1" ht="15.75" customHeight="1">
      <c r="B369" s="617" t="str">
        <f t="shared" si="6"/>
        <v>Notes:</v>
      </c>
      <c r="C369" s="603" t="s">
        <v>1079</v>
      </c>
      <c r="D369" s="603" t="s">
        <v>1889</v>
      </c>
      <c r="E369" s="601" t="s">
        <v>1232</v>
      </c>
      <c r="F369" s="662" t="s">
        <v>3121</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1094</v>
      </c>
      <c r="D370" s="603" t="s">
        <v>1168</v>
      </c>
      <c r="E370" s="601" t="s">
        <v>1639</v>
      </c>
      <c r="F370" s="662" t="s">
        <v>3122</v>
      </c>
      <c r="G370" s="616"/>
      <c r="H370" s="655"/>
    </row>
    <row r="371" spans="2:31" s="607" customFormat="1" ht="15.75" customHeight="1">
      <c r="B371" s="617" t="str">
        <f t="shared" si="6"/>
        <v>Energy Inflation Rate (%/year)</v>
      </c>
      <c r="C371" s="603" t="s">
        <v>1069</v>
      </c>
      <c r="D371" s="603" t="s">
        <v>1890</v>
      </c>
      <c r="E371" s="601" t="s">
        <v>1233</v>
      </c>
      <c r="F371" s="662" t="s">
        <v>3132</v>
      </c>
      <c r="G371" s="616"/>
      <c r="H371" s="655"/>
      <c r="J371" s="607" t="s">
        <v>2568</v>
      </c>
    </row>
    <row r="372" spans="2:31" s="607" customFormat="1" ht="15.75" customHeight="1">
      <c r="B372" s="617" t="str">
        <f t="shared" si="6"/>
        <v>Simple Payback</v>
      </c>
      <c r="C372" s="603" t="s">
        <v>1125</v>
      </c>
      <c r="D372" s="603" t="s">
        <v>1337</v>
      </c>
      <c r="E372" s="601" t="s">
        <v>1234</v>
      </c>
      <c r="F372" s="662" t="s">
        <v>3123</v>
      </c>
      <c r="G372" s="616"/>
      <c r="H372" s="655"/>
      <c r="J372" s="607" t="s">
        <v>2569</v>
      </c>
    </row>
    <row r="373" spans="2:31" s="607" customFormat="1" ht="15.75" customHeight="1">
      <c r="B373" s="617" t="str">
        <f t="shared" si="6"/>
        <v>Total Installation Cost</v>
      </c>
      <c r="C373" s="603" t="s">
        <v>1126</v>
      </c>
      <c r="D373" s="603" t="s">
        <v>1338</v>
      </c>
      <c r="E373" s="601" t="s">
        <v>1235</v>
      </c>
      <c r="F373" s="662" t="s">
        <v>3124</v>
      </c>
      <c r="G373" s="616"/>
      <c r="H373" s="655"/>
      <c r="J373" s="607" t="s">
        <v>2570</v>
      </c>
    </row>
    <row r="374" spans="2:31" s="607" customFormat="1" ht="15.75" customHeight="1">
      <c r="B374" s="617" t="str">
        <f t="shared" si="6"/>
        <v>Total Annual Cost</v>
      </c>
      <c r="C374" s="603" t="s">
        <v>1127</v>
      </c>
      <c r="D374" s="603" t="s">
        <v>1339</v>
      </c>
      <c r="E374" s="601" t="s">
        <v>1236</v>
      </c>
      <c r="F374" s="662" t="s">
        <v>3125</v>
      </c>
      <c r="G374" s="616"/>
      <c r="H374" s="655"/>
      <c r="J374" s="607" t="s">
        <v>2571</v>
      </c>
    </row>
    <row r="375" spans="2:31" s="607" customFormat="1" ht="15.75" customHeight="1">
      <c r="B375" s="617" t="str">
        <f t="shared" si="6"/>
        <v>Installation Cost Difference (to baseline)</v>
      </c>
      <c r="C375" s="603" t="s">
        <v>1129</v>
      </c>
      <c r="D375" s="603" t="s">
        <v>1169</v>
      </c>
      <c r="E375" s="601" t="s">
        <v>1237</v>
      </c>
      <c r="F375" s="662" t="s">
        <v>3126</v>
      </c>
      <c r="G375" s="616"/>
      <c r="H375" s="655"/>
      <c r="J375" s="607" t="s">
        <v>2572</v>
      </c>
    </row>
    <row r="376" spans="2:31" s="607" customFormat="1" ht="15.75" customHeight="1">
      <c r="B376" s="617" t="str">
        <f t="shared" si="6"/>
        <v>Annual Cost Savings (to baseline)</v>
      </c>
      <c r="C376" s="603" t="s">
        <v>1128</v>
      </c>
      <c r="D376" s="603" t="s">
        <v>1170</v>
      </c>
      <c r="E376" s="601" t="s">
        <v>1640</v>
      </c>
      <c r="F376" s="662" t="s">
        <v>3127</v>
      </c>
      <c r="G376" s="616"/>
      <c r="H376" s="655"/>
      <c r="J376" s="607" t="s">
        <v>2573</v>
      </c>
    </row>
    <row r="377" spans="2:31" s="607" customFormat="1" ht="15.75" customHeight="1">
      <c r="B377" s="617" t="str">
        <f t="shared" si="6"/>
        <v>Net Present Value - Total Cost of Ownership</v>
      </c>
      <c r="C377" s="603" t="s">
        <v>1133</v>
      </c>
      <c r="D377" s="603" t="s">
        <v>1171</v>
      </c>
      <c r="E377" s="601" t="s">
        <v>1239</v>
      </c>
      <c r="F377" s="662" t="s">
        <v>3128</v>
      </c>
      <c r="G377" s="616"/>
      <c r="H377" s="655"/>
      <c r="J377" s="607" t="s">
        <v>2574</v>
      </c>
      <c r="L377" s="607" t="s">
        <v>2575</v>
      </c>
    </row>
    <row r="378" spans="2:31" s="607" customFormat="1" ht="15.75" customHeight="1">
      <c r="B378" s="617" t="str">
        <f t="shared" si="6"/>
        <v>Year</v>
      </c>
      <c r="C378" s="603" t="s">
        <v>1134</v>
      </c>
      <c r="D378" s="603" t="s">
        <v>1891</v>
      </c>
      <c r="E378" s="601" t="s">
        <v>1240</v>
      </c>
      <c r="F378" s="662" t="s">
        <v>3129</v>
      </c>
      <c r="G378" s="616"/>
      <c r="H378" s="655"/>
      <c r="J378" s="607" t="s">
        <v>2576</v>
      </c>
      <c r="L378" s="607" t="s">
        <v>2577</v>
      </c>
      <c r="M378" s="607" t="s">
        <v>2578</v>
      </c>
      <c r="N378" s="607" t="s">
        <v>2579</v>
      </c>
      <c r="O378" s="607" t="s">
        <v>2580</v>
      </c>
      <c r="P378" s="607" t="s">
        <v>2581</v>
      </c>
      <c r="Q378" s="607" t="s">
        <v>2582</v>
      </c>
      <c r="R378" s="607" t="s">
        <v>2583</v>
      </c>
      <c r="S378" s="607" t="s">
        <v>2584</v>
      </c>
      <c r="T378" s="607" t="s">
        <v>2585</v>
      </c>
      <c r="U378" s="607" t="s">
        <v>2586</v>
      </c>
      <c r="V378" s="607" t="s">
        <v>2587</v>
      </c>
      <c r="W378" s="607" t="s">
        <v>2588</v>
      </c>
      <c r="X378" s="607" t="s">
        <v>2589</v>
      </c>
      <c r="Y378" s="607" t="s">
        <v>2590</v>
      </c>
      <c r="Z378" s="607" t="s">
        <v>2591</v>
      </c>
      <c r="AA378" s="607" t="s">
        <v>2592</v>
      </c>
      <c r="AB378" s="607" t="s">
        <v>2593</v>
      </c>
      <c r="AC378" s="607" t="s">
        <v>2594</v>
      </c>
      <c r="AD378" s="607" t="s">
        <v>2595</v>
      </c>
      <c r="AE378" s="607" t="s">
        <v>2596</v>
      </c>
    </row>
    <row r="379" spans="2:31" s="607" customFormat="1" ht="15.75" customHeight="1">
      <c r="B379" s="617" t="str">
        <f t="shared" si="6"/>
        <v>Inputs for both Baseline and Upgrade are required; however if there is no change in the road geometry, values in both columns can be the same</v>
      </c>
      <c r="C379" s="603" t="s">
        <v>1143</v>
      </c>
      <c r="D379" s="603" t="s">
        <v>1892</v>
      </c>
      <c r="E379" s="601" t="s">
        <v>1641</v>
      </c>
      <c r="F379" s="662" t="s">
        <v>3130</v>
      </c>
      <c r="G379" s="616"/>
      <c r="H379" s="655"/>
    </row>
    <row r="380" spans="2:31" s="607" customFormat="1" ht="15.75" customHeight="1">
      <c r="B380" s="617" t="str">
        <f t="shared" si="6"/>
        <v>Create output file</v>
      </c>
      <c r="C380" s="603" t="s">
        <v>1149</v>
      </c>
      <c r="D380" s="603" t="s">
        <v>1893</v>
      </c>
      <c r="E380" s="601" t="s">
        <v>1241</v>
      </c>
      <c r="F380" s="662" t="s">
        <v>3131</v>
      </c>
      <c r="G380" s="616"/>
      <c r="H380" s="655"/>
    </row>
    <row r="381" spans="2:31" s="607" customFormat="1" ht="15.75" customHeight="1">
      <c r="B381" s="617" t="str">
        <f t="shared" si="6"/>
        <v>Energy Inflation Rate (%/year)</v>
      </c>
      <c r="C381" s="603" t="s">
        <v>1069</v>
      </c>
      <c r="D381" s="603" t="s">
        <v>1890</v>
      </c>
      <c r="E381" s="601" t="s">
        <v>1233</v>
      </c>
      <c r="F381" s="662" t="s">
        <v>3132</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1152</v>
      </c>
      <c r="D382" s="603" t="s">
        <v>1894</v>
      </c>
      <c r="E382" s="601" t="s">
        <v>1642</v>
      </c>
      <c r="F382" s="662" t="s">
        <v>3133</v>
      </c>
      <c r="G382" s="616"/>
      <c r="H382" s="655"/>
    </row>
    <row r="383" spans="2:31" s="607" customFormat="1" ht="15.75" customHeight="1">
      <c r="B383" s="617" t="str">
        <f t="shared" si="6"/>
        <v>(enter values here)</v>
      </c>
      <c r="C383" s="603" t="s">
        <v>1154</v>
      </c>
      <c r="D383" s="604" t="s">
        <v>1177</v>
      </c>
      <c r="E383" s="604" t="s">
        <v>1178</v>
      </c>
      <c r="F383" s="662" t="s">
        <v>3134</v>
      </c>
      <c r="G383" s="616"/>
      <c r="H383" s="655"/>
    </row>
    <row r="384" spans="2:31" s="607" customFormat="1" ht="15.75" customHeight="1">
      <c r="B384" s="617" t="str">
        <f t="shared" si="6"/>
        <v>(read me)</v>
      </c>
      <c r="C384" s="603" t="s">
        <v>1141</v>
      </c>
      <c r="D384" s="604" t="s">
        <v>1180</v>
      </c>
      <c r="E384" s="604" t="s">
        <v>1179</v>
      </c>
      <c r="F384" s="662" t="s">
        <v>3135</v>
      </c>
      <c r="G384" s="616"/>
      <c r="H384" s="655"/>
    </row>
    <row r="385" spans="2:10" s="607" customFormat="1" ht="15.75" customHeight="1">
      <c r="B385" s="617" t="str">
        <f t="shared" si="6"/>
        <v>(navigate)</v>
      </c>
      <c r="C385" s="603" t="s">
        <v>1142</v>
      </c>
      <c r="D385" s="604" t="s">
        <v>1181</v>
      </c>
      <c r="E385" s="604" t="s">
        <v>1182</v>
      </c>
      <c r="F385" s="662" t="s">
        <v>3136</v>
      </c>
      <c r="G385" s="616"/>
      <c r="H385" s="655"/>
    </row>
    <row r="386" spans="2:10" s="607" customFormat="1" ht="15.75" customHeight="1">
      <c r="B386" s="617" t="str">
        <f t="shared" si="6"/>
        <v>Single-side</v>
      </c>
      <c r="C386" s="601" t="s">
        <v>320</v>
      </c>
      <c r="D386" s="601" t="s">
        <v>1183</v>
      </c>
      <c r="E386" s="601" t="s">
        <v>1554</v>
      </c>
      <c r="F386" s="662" t="s">
        <v>3294</v>
      </c>
      <c r="G386" s="616"/>
      <c r="H386" s="655"/>
    </row>
    <row r="387" spans="2:10" s="607" customFormat="1" ht="15.75" customHeight="1">
      <c r="B387" s="617" t="str">
        <f t="shared" si="6"/>
        <v>Staggered</v>
      </c>
      <c r="C387" s="601" t="s">
        <v>367</v>
      </c>
      <c r="D387" s="601" t="s">
        <v>807</v>
      </c>
      <c r="E387" s="601" t="s">
        <v>990</v>
      </c>
      <c r="F387" s="662" t="s">
        <v>3295</v>
      </c>
      <c r="G387" s="616"/>
      <c r="H387" s="655"/>
    </row>
    <row r="388" spans="2:10" s="607" customFormat="1" ht="15.75" customHeight="1">
      <c r="B388" s="617" t="str">
        <f t="shared" si="6"/>
        <v>Median mounted</v>
      </c>
      <c r="C388" s="601" t="s">
        <v>1184</v>
      </c>
      <c r="D388" s="601" t="s">
        <v>1185</v>
      </c>
      <c r="E388" s="601" t="s">
        <v>1353</v>
      </c>
      <c r="F388" s="662" t="s">
        <v>3296</v>
      </c>
      <c r="G388" s="616"/>
      <c r="H388" s="655"/>
    </row>
    <row r="389" spans="2:10" s="607" customFormat="1" ht="15.75" customHeight="1">
      <c r="B389" s="617" t="str">
        <f t="shared" si="6"/>
        <v>Opposite</v>
      </c>
      <c r="C389" s="601" t="s">
        <v>1246</v>
      </c>
      <c r="D389" s="609" t="s">
        <v>1406</v>
      </c>
      <c r="E389" s="601" t="s">
        <v>1354</v>
      </c>
      <c r="F389" s="662" t="s">
        <v>2907</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1188</v>
      </c>
      <c r="D390" s="601" t="s">
        <v>1223</v>
      </c>
      <c r="E390" s="601" t="s">
        <v>1242</v>
      </c>
      <c r="F390" s="662" t="s">
        <v>3137</v>
      </c>
      <c r="G390" s="616"/>
      <c r="H390" s="655"/>
      <c r="I390" s="607" t="s">
        <v>2597</v>
      </c>
    </row>
    <row r="391" spans="2:10" s="607" customFormat="1" ht="15.75" customHeight="1">
      <c r="B391" s="617" t="str">
        <f t="shared" si="6"/>
        <v>1) Add files to list below</v>
      </c>
      <c r="C391" s="601" t="s">
        <v>1751</v>
      </c>
      <c r="D391" s="601" t="s">
        <v>1752</v>
      </c>
      <c r="E391" s="601" t="s">
        <v>1753</v>
      </c>
      <c r="F391" s="662" t="s">
        <v>3138</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1196</v>
      </c>
      <c r="D392" s="601" t="s">
        <v>1224</v>
      </c>
      <c r="E392" s="601" t="s">
        <v>1643</v>
      </c>
      <c r="F392" s="662" t="s">
        <v>3139</v>
      </c>
      <c r="G392" s="616"/>
      <c r="H392" s="655"/>
      <c r="I392" s="607" t="s">
        <v>2598</v>
      </c>
    </row>
    <row r="393" spans="2:10" s="607" customFormat="1" ht="15.75" customHeight="1">
      <c r="B393" s="617" t="str">
        <f t="shared" si="6"/>
        <v>Be sure to add the Fixture Type and edit the Fixture Name if desired</v>
      </c>
      <c r="C393" s="601" t="s">
        <v>1197</v>
      </c>
      <c r="D393" s="601" t="s">
        <v>1225</v>
      </c>
      <c r="E393" s="601" t="s">
        <v>1644</v>
      </c>
      <c r="F393" s="662" t="s">
        <v>3140</v>
      </c>
      <c r="G393" s="616"/>
      <c r="H393" s="655"/>
      <c r="I393" s="607" t="s">
        <v>2599</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1350</v>
      </c>
      <c r="D394" s="601" t="s">
        <v>1645</v>
      </c>
      <c r="E394" s="601" t="s">
        <v>1646</v>
      </c>
      <c r="F394" s="662" t="s">
        <v>3141</v>
      </c>
      <c r="G394" s="616"/>
      <c r="H394" s="655"/>
      <c r="J394" s="607" t="s">
        <v>2600</v>
      </c>
    </row>
    <row r="395" spans="2:10" s="607" customFormat="1" ht="15.75" customHeight="1">
      <c r="B395" s="617" t="str">
        <f t="shared" si="6"/>
        <v>Fixture already installed (mark with 'x')</v>
      </c>
      <c r="C395" s="601" t="s">
        <v>1124</v>
      </c>
      <c r="D395" s="601" t="s">
        <v>1209</v>
      </c>
      <c r="E395" s="601" t="s">
        <v>1647</v>
      </c>
      <c r="F395" s="662" t="s">
        <v>3313</v>
      </c>
      <c r="G395" s="616"/>
      <c r="H395" s="655"/>
      <c r="J395" s="607" t="s">
        <v>2601</v>
      </c>
    </row>
    <row r="396" spans="2:10" s="607" customFormat="1" ht="15.75" customHeight="1">
      <c r="B396" s="617" t="str">
        <f t="shared" si="6"/>
        <v>Inputs</v>
      </c>
      <c r="C396" s="601" t="s">
        <v>106</v>
      </c>
      <c r="D396" s="601" t="s">
        <v>1210</v>
      </c>
      <c r="E396" s="602" t="s">
        <v>879</v>
      </c>
      <c r="F396" s="662" t="s">
        <v>3142</v>
      </c>
      <c r="G396" s="616"/>
      <c r="H396" s="655"/>
      <c r="J396" s="607" t="s">
        <v>2602</v>
      </c>
    </row>
    <row r="397" spans="2:10" s="607" customFormat="1" ht="15.75" customHeight="1">
      <c r="B397" s="617" t="str">
        <f t="shared" si="6"/>
        <v>IES calculations will be performed. It will take some time, be patient. Press Ok to continue</v>
      </c>
      <c r="C397" s="601" t="s">
        <v>1305</v>
      </c>
      <c r="D397" s="609" t="s">
        <v>1409</v>
      </c>
      <c r="E397" s="601" t="s">
        <v>1457</v>
      </c>
      <c r="F397" s="662" t="s">
        <v>3143</v>
      </c>
      <c r="G397" s="616"/>
      <c r="H397" s="655"/>
      <c r="I397" s="607" t="s">
        <v>2603</v>
      </c>
    </row>
    <row r="398" spans="2:10" s="607" customFormat="1" ht="15.75" customHeight="1">
      <c r="B398" s="617" t="str">
        <f t="shared" si="6"/>
        <v>CIE calculations will be performed. It will take some time, be patient. Press Ok to continue</v>
      </c>
      <c r="C398" s="601" t="s">
        <v>1306</v>
      </c>
      <c r="D398" s="609" t="s">
        <v>1409</v>
      </c>
      <c r="E398" s="601" t="s">
        <v>1458</v>
      </c>
      <c r="F398" s="662" t="s">
        <v>3144</v>
      </c>
      <c r="G398" s="616"/>
      <c r="H398" s="655"/>
      <c r="I398" s="607" t="s">
        <v>2604</v>
      </c>
    </row>
    <row r="399" spans="2:10" s="607" customFormat="1" ht="15.75" customHeight="1">
      <c r="B399" s="617" t="str">
        <f t="shared" si="6"/>
        <v>First, IES calculations will be performed. It will take some time, be patient. Press Ok to continue</v>
      </c>
      <c r="C399" s="601" t="s">
        <v>1307</v>
      </c>
      <c r="D399" s="609" t="s">
        <v>1410</v>
      </c>
      <c r="E399" s="601" t="s">
        <v>1459</v>
      </c>
      <c r="F399" s="662" t="s">
        <v>3145</v>
      </c>
      <c r="G399" s="616"/>
      <c r="H399" s="655"/>
      <c r="I399" s="607" t="s">
        <v>2605</v>
      </c>
    </row>
    <row r="400" spans="2:10" s="607" customFormat="1" ht="15.75" customHeight="1">
      <c r="B400" s="617" t="str">
        <f t="shared" si="6"/>
        <v>Now, CIE calculations will be performed. It will take some time, be patient. Press Ok to continue</v>
      </c>
      <c r="C400" s="601" t="s">
        <v>1308</v>
      </c>
      <c r="D400" s="609" t="s">
        <v>1411</v>
      </c>
      <c r="E400" s="601" t="s">
        <v>1460</v>
      </c>
      <c r="F400" s="662" t="s">
        <v>3146</v>
      </c>
      <c r="G400" s="616"/>
      <c r="H400" s="655"/>
      <c r="I400" s="607" t="s">
        <v>2606</v>
      </c>
    </row>
    <row r="401" spans="1:10" s="607" customFormat="1" ht="15.75" customHeight="1">
      <c r="B401" s="617" t="str">
        <f t="shared" si="6"/>
        <v xml:space="preserve">Output file is generated successfully in </v>
      </c>
      <c r="C401" s="601" t="s">
        <v>1309</v>
      </c>
      <c r="D401" s="601" t="s">
        <v>1412</v>
      </c>
      <c r="E401" s="601" t="s">
        <v>1461</v>
      </c>
      <c r="F401" s="662" t="s">
        <v>3147</v>
      </c>
      <c r="G401" s="616"/>
      <c r="H401" s="655"/>
      <c r="I401" s="607" t="s">
        <v>2607</v>
      </c>
    </row>
    <row r="402" spans="1:10" s="607" customFormat="1" ht="15.75" customHeight="1">
      <c r="B402" s="617" t="str">
        <f t="shared" si="6"/>
        <v>Others</v>
      </c>
      <c r="C402" s="601" t="s">
        <v>1260</v>
      </c>
      <c r="D402" s="601" t="s">
        <v>1365</v>
      </c>
      <c r="E402" s="601" t="s">
        <v>1366</v>
      </c>
      <c r="F402" s="662" t="s">
        <v>3148</v>
      </c>
      <c r="G402" s="616"/>
      <c r="H402" s="655"/>
    </row>
    <row r="403" spans="1:10" s="607" customFormat="1" ht="15.75" customHeight="1">
      <c r="B403" s="618" t="str">
        <f t="shared" si="6"/>
        <v>Illuminance Calculations</v>
      </c>
      <c r="C403" s="603" t="s">
        <v>1261</v>
      </c>
      <c r="D403" s="604" t="s">
        <v>789</v>
      </c>
      <c r="E403" s="601" t="s">
        <v>1648</v>
      </c>
      <c r="F403" s="662" t="s">
        <v>3149</v>
      </c>
      <c r="G403" s="616"/>
      <c r="H403" s="655"/>
      <c r="J403" s="607" t="s">
        <v>2608</v>
      </c>
    </row>
    <row r="404" spans="1:10" s="607" customFormat="1" ht="15.75" customHeight="1">
      <c r="B404" s="618" t="str">
        <f t="shared" si="6"/>
        <v>Luminance Calculations</v>
      </c>
      <c r="C404" s="603" t="s">
        <v>1262</v>
      </c>
      <c r="D404" s="604" t="s">
        <v>1367</v>
      </c>
      <c r="E404" s="601" t="s">
        <v>1649</v>
      </c>
      <c r="F404" s="662" t="s">
        <v>3150</v>
      </c>
      <c r="G404" s="616"/>
      <c r="H404" s="655"/>
      <c r="J404" s="607" t="s">
        <v>2609</v>
      </c>
    </row>
    <row r="405" spans="1:10" s="607" customFormat="1" ht="15.75" customHeight="1">
      <c r="B405" s="618" t="str">
        <f t="shared" si="6"/>
        <v>The table below displays Illuminance at every gridpoint</v>
      </c>
      <c r="C405" s="603" t="s">
        <v>1264</v>
      </c>
      <c r="D405" s="603" t="s">
        <v>1413</v>
      </c>
      <c r="E405" s="601" t="s">
        <v>1650</v>
      </c>
      <c r="F405" s="662" t="s">
        <v>3151</v>
      </c>
      <c r="G405" s="616"/>
      <c r="H405" s="655"/>
      <c r="J405" s="607" t="s">
        <v>2610</v>
      </c>
    </row>
    <row r="406" spans="1:10" s="607" customFormat="1" ht="15.75" customHeight="1">
      <c r="B406" s="618" t="str">
        <f t="shared" si="6"/>
        <v>The table below displays Luminance at every gridpoint</v>
      </c>
      <c r="C406" s="603" t="s">
        <v>1265</v>
      </c>
      <c r="D406" s="603" t="s">
        <v>1413</v>
      </c>
      <c r="E406" s="601" t="s">
        <v>1651</v>
      </c>
      <c r="F406" s="662" t="s">
        <v>3152</v>
      </c>
      <c r="G406" s="616"/>
      <c r="H406" s="655"/>
      <c r="J406" s="607" t="s">
        <v>2611</v>
      </c>
    </row>
    <row r="407" spans="1:10" s="607" customFormat="1" ht="15.75" customHeight="1">
      <c r="B407" s="618" t="str">
        <f t="shared" si="6"/>
        <v>Average</v>
      </c>
      <c r="C407" s="603" t="s">
        <v>12</v>
      </c>
      <c r="D407" s="604" t="s">
        <v>767</v>
      </c>
      <c r="E407" s="604" t="s">
        <v>958</v>
      </c>
      <c r="F407" s="661" t="s">
        <v>3006</v>
      </c>
      <c r="G407" s="616"/>
      <c r="H407" s="655"/>
      <c r="J407" s="607" t="s">
        <v>2612</v>
      </c>
    </row>
    <row r="408" spans="1:10" s="607" customFormat="1" ht="15.75" customHeight="1">
      <c r="B408" s="618" t="str">
        <f t="shared" si="6"/>
        <v>Minimum</v>
      </c>
      <c r="C408" s="603" t="s">
        <v>1268</v>
      </c>
      <c r="D408" s="604" t="s">
        <v>1368</v>
      </c>
      <c r="E408" s="604" t="s">
        <v>1369</v>
      </c>
      <c r="F408" s="662" t="s">
        <v>3153</v>
      </c>
      <c r="G408" s="616"/>
      <c r="H408" s="655"/>
      <c r="J408" s="607" t="s">
        <v>2613</v>
      </c>
    </row>
    <row r="409" spans="1:10" s="607" customFormat="1" ht="15.75" customHeight="1">
      <c r="B409" s="618" t="str">
        <f t="shared" si="6"/>
        <v>Maximum</v>
      </c>
      <c r="C409" s="603" t="s">
        <v>1269</v>
      </c>
      <c r="D409" s="604" t="s">
        <v>1370</v>
      </c>
      <c r="E409" s="604" t="s">
        <v>1371</v>
      </c>
      <c r="F409" s="662" t="s">
        <v>3154</v>
      </c>
      <c r="G409" s="616"/>
      <c r="H409" s="655"/>
      <c r="J409" s="607" t="s">
        <v>2614</v>
      </c>
    </row>
    <row r="410" spans="1:10" s="607" customFormat="1" ht="15.75" customHeight="1">
      <c r="B410" s="618" t="str">
        <f t="shared" si="6"/>
        <v>Minimum/Average</v>
      </c>
      <c r="C410" s="603" t="s">
        <v>1323</v>
      </c>
      <c r="D410" s="604" t="s">
        <v>1372</v>
      </c>
      <c r="E410" s="604" t="s">
        <v>1373</v>
      </c>
      <c r="F410" s="662" t="s">
        <v>3155</v>
      </c>
      <c r="G410" s="616"/>
      <c r="H410" s="655"/>
      <c r="J410" s="607" t="s">
        <v>2615</v>
      </c>
    </row>
    <row r="411" spans="1:10" s="607" customFormat="1" ht="15.75" customHeight="1">
      <c r="B411" s="618" t="str">
        <f t="shared" si="6"/>
        <v>Maximum/Minimum</v>
      </c>
      <c r="C411" s="603" t="s">
        <v>1324</v>
      </c>
      <c r="D411" s="604" t="s">
        <v>1374</v>
      </c>
      <c r="E411" s="604" t="s">
        <v>1375</v>
      </c>
      <c r="F411" s="662" t="s">
        <v>3156</v>
      </c>
      <c r="G411" s="616"/>
      <c r="H411" s="655"/>
      <c r="J411" s="607" t="s">
        <v>2616</v>
      </c>
    </row>
    <row r="412" spans="1:10" s="607" customFormat="1" ht="15.75" customHeight="1">
      <c r="B412" s="618" t="str">
        <f t="shared" si="6"/>
        <v>(enter values here)</v>
      </c>
      <c r="C412" s="603" t="s">
        <v>1154</v>
      </c>
      <c r="D412" s="604" t="s">
        <v>1177</v>
      </c>
      <c r="E412" s="604" t="s">
        <v>1178</v>
      </c>
      <c r="F412" s="662" t="s">
        <v>3157</v>
      </c>
      <c r="G412" s="616"/>
      <c r="H412" s="655"/>
    </row>
    <row r="413" spans="1:10" s="607" customFormat="1" ht="15.75" customHeight="1">
      <c r="B413" s="618" t="str">
        <f t="shared" si="6"/>
        <v>(read me)</v>
      </c>
      <c r="C413" s="603" t="s">
        <v>1141</v>
      </c>
      <c r="D413" s="604" t="s">
        <v>1180</v>
      </c>
      <c r="E413" s="604" t="s">
        <v>1179</v>
      </c>
      <c r="F413" s="662" t="s">
        <v>3135</v>
      </c>
      <c r="G413" s="616"/>
      <c r="H413" s="655"/>
    </row>
    <row r="414" spans="1:10" s="607" customFormat="1" ht="15.75" customHeight="1">
      <c r="B414" s="618" t="str">
        <f t="shared" si="6"/>
        <v>(navigate)</v>
      </c>
      <c r="C414" s="603" t="s">
        <v>1142</v>
      </c>
      <c r="D414" s="604" t="s">
        <v>1181</v>
      </c>
      <c r="E414" s="604" t="s">
        <v>1182</v>
      </c>
      <c r="F414" s="662" t="s">
        <v>3136</v>
      </c>
      <c r="G414" s="616"/>
      <c r="H414" s="655"/>
    </row>
    <row r="415" spans="1:10" s="607" customFormat="1" ht="15.75" customHeight="1">
      <c r="B415" s="618" t="str">
        <f t="shared" si="6"/>
        <v>Output</v>
      </c>
      <c r="C415" s="603" t="s">
        <v>1310</v>
      </c>
      <c r="D415" s="604" t="s">
        <v>1455</v>
      </c>
      <c r="E415" s="604" t="s">
        <v>1462</v>
      </c>
      <c r="F415" s="662" t="s">
        <v>3158</v>
      </c>
      <c r="G415" s="616"/>
      <c r="H415" s="655"/>
    </row>
    <row r="416" spans="1:10" s="607" customFormat="1" ht="15.75" customHeight="1">
      <c r="A416" s="607">
        <v>416</v>
      </c>
      <c r="B416" s="618" t="str">
        <f t="shared" si="6"/>
        <v>Illuminance vs Wattage</v>
      </c>
      <c r="C416" s="603" t="s">
        <v>1311</v>
      </c>
      <c r="D416" s="604" t="s">
        <v>1414</v>
      </c>
      <c r="E416" s="604" t="s">
        <v>1463</v>
      </c>
      <c r="F416" s="662" t="s">
        <v>3159</v>
      </c>
      <c r="G416" s="616"/>
      <c r="H416" s="655"/>
    </row>
    <row r="417" spans="1:17" s="607" customFormat="1" ht="15.75" customHeight="1">
      <c r="A417" s="607">
        <v>417</v>
      </c>
      <c r="B417" s="618" t="str">
        <f t="shared" si="6"/>
        <v>Target vs Actual Avg Illuminance</v>
      </c>
      <c r="C417" s="603" t="s">
        <v>1312</v>
      </c>
      <c r="D417" s="604" t="s">
        <v>1415</v>
      </c>
      <c r="E417" s="604" t="s">
        <v>1464</v>
      </c>
      <c r="F417" s="662" t="s">
        <v>3160</v>
      </c>
      <c r="G417" s="616"/>
      <c r="H417" s="655"/>
    </row>
    <row r="418" spans="1:17" s="607" customFormat="1" ht="15.75" customHeight="1">
      <c r="A418" s="607">
        <v>418</v>
      </c>
      <c r="B418" s="618" t="str">
        <f t="shared" si="6"/>
        <v>Uniformity (Illuminance)</v>
      </c>
      <c r="C418" s="603" t="s">
        <v>1343</v>
      </c>
      <c r="D418" s="604" t="s">
        <v>1486</v>
      </c>
      <c r="E418" s="604" t="s">
        <v>1488</v>
      </c>
      <c r="F418" s="662" t="s">
        <v>3161</v>
      </c>
      <c r="G418" s="616"/>
      <c r="H418" s="655"/>
    </row>
    <row r="419" spans="1:17" s="607" customFormat="1" ht="15.75" customHeight="1">
      <c r="A419" s="607">
        <v>419</v>
      </c>
      <c r="B419" s="618" t="str">
        <f t="shared" si="6"/>
        <v>Luminance vs Wattage</v>
      </c>
      <c r="C419" s="601" t="s">
        <v>1313</v>
      </c>
      <c r="D419" s="601" t="s">
        <v>1652</v>
      </c>
      <c r="E419" s="601" t="s">
        <v>1465</v>
      </c>
      <c r="F419" s="662" t="s">
        <v>3162</v>
      </c>
      <c r="G419" s="616"/>
      <c r="H419" s="655"/>
    </row>
    <row r="420" spans="1:17" s="607" customFormat="1" ht="15.75" customHeight="1">
      <c r="A420" s="607">
        <v>420</v>
      </c>
      <c r="B420" s="618" t="str">
        <f t="shared" si="6"/>
        <v>Target vs Actual Avg Luminance</v>
      </c>
      <c r="C420" s="601" t="s">
        <v>1314</v>
      </c>
      <c r="D420" s="601" t="s">
        <v>1653</v>
      </c>
      <c r="E420" s="601" t="s">
        <v>1466</v>
      </c>
      <c r="F420" s="662" t="s">
        <v>3163</v>
      </c>
      <c r="G420" s="616"/>
      <c r="H420" s="655"/>
    </row>
    <row r="421" spans="1:17" s="607" customFormat="1" ht="15.75" customHeight="1">
      <c r="A421" s="607">
        <v>421</v>
      </c>
      <c r="B421" s="617" t="str">
        <f t="shared" si="6"/>
        <v>Uniformity (Luminance)</v>
      </c>
      <c r="C421" s="601" t="s">
        <v>1342</v>
      </c>
      <c r="D421" s="604" t="s">
        <v>1487</v>
      </c>
      <c r="E421" s="604" t="s">
        <v>1489</v>
      </c>
      <c r="F421" s="662" t="s">
        <v>3164</v>
      </c>
      <c r="G421" s="616"/>
      <c r="H421" s="655"/>
    </row>
    <row r="422" spans="1:17" s="607" customFormat="1" ht="15.75" customHeight="1">
      <c r="A422" s="607">
        <v>422</v>
      </c>
      <c r="B422" s="617" t="str">
        <f t="shared" si="6"/>
        <v>Net Present Value - Total Cost of Ownership</v>
      </c>
      <c r="C422" s="601" t="s">
        <v>1133</v>
      </c>
      <c r="D422" s="604" t="s">
        <v>1171</v>
      </c>
      <c r="E422" s="604" t="s">
        <v>1239</v>
      </c>
      <c r="F422" s="662" t="s">
        <v>3165</v>
      </c>
      <c r="G422" s="616"/>
      <c r="H422" s="655"/>
    </row>
    <row r="423" spans="1:17" s="607" customFormat="1" ht="15.75" customHeight="1">
      <c r="A423" s="607">
        <v>423</v>
      </c>
      <c r="B423" s="617" t="str">
        <f t="shared" si="6"/>
        <v>Dashboard</v>
      </c>
      <c r="C423" s="601" t="s">
        <v>1270</v>
      </c>
      <c r="D423" s="601" t="s">
        <v>1416</v>
      </c>
      <c r="E423" s="601" t="s">
        <v>1467</v>
      </c>
      <c r="F423" s="661" t="s">
        <v>3166</v>
      </c>
      <c r="G423" s="616"/>
      <c r="H423" s="655"/>
      <c r="J423" s="607" t="s">
        <v>2617</v>
      </c>
    </row>
    <row r="424" spans="1:17" s="607" customFormat="1" ht="15.75" customHeight="1">
      <c r="A424" s="607">
        <v>424</v>
      </c>
      <c r="B424" s="617" t="str">
        <f t="shared" si="6"/>
        <v>Inputs</v>
      </c>
      <c r="C424" s="601" t="s">
        <v>106</v>
      </c>
      <c r="D424" s="604" t="s">
        <v>662</v>
      </c>
      <c r="E424" s="604" t="s">
        <v>879</v>
      </c>
      <c r="F424" s="662" t="s">
        <v>3142</v>
      </c>
      <c r="G424" s="616"/>
      <c r="H424" s="655"/>
      <c r="J424" s="607" t="s">
        <v>2618</v>
      </c>
    </row>
    <row r="425" spans="1:17" s="607" customFormat="1" ht="15.75" customHeight="1">
      <c r="A425" s="607">
        <v>425</v>
      </c>
      <c r="B425" s="617" t="str">
        <f t="shared" si="6"/>
        <v>Simulation ID</v>
      </c>
      <c r="C425" s="601" t="s">
        <v>1051</v>
      </c>
      <c r="D425" s="601" t="s">
        <v>1051</v>
      </c>
      <c r="E425" s="601" t="s">
        <v>1468</v>
      </c>
      <c r="F425" s="662" t="s">
        <v>3167</v>
      </c>
      <c r="G425" s="616"/>
      <c r="H425" s="655"/>
      <c r="J425" s="607" t="s">
        <v>2619</v>
      </c>
      <c r="L425" s="607" t="s">
        <v>2620</v>
      </c>
      <c r="M425" s="607" t="s">
        <v>2621</v>
      </c>
      <c r="N425" s="607" t="s">
        <v>2622</v>
      </c>
      <c r="O425" s="607" t="s">
        <v>2623</v>
      </c>
      <c r="P425" s="607" t="s">
        <v>2624</v>
      </c>
      <c r="Q425" s="607" t="s">
        <v>2625</v>
      </c>
    </row>
    <row r="426" spans="1:17" s="607" customFormat="1" ht="15.75" customHeight="1">
      <c r="A426" s="607">
        <v>426</v>
      </c>
      <c r="B426" s="617" t="str">
        <f t="shared" si="6"/>
        <v>Fixture Name</v>
      </c>
      <c r="C426" s="601" t="s">
        <v>50</v>
      </c>
      <c r="D426" s="604" t="s">
        <v>670</v>
      </c>
      <c r="E426" s="604" t="s">
        <v>882</v>
      </c>
      <c r="F426" s="662" t="s">
        <v>3168</v>
      </c>
      <c r="G426" s="616"/>
      <c r="H426" s="655"/>
      <c r="J426" s="607" t="s">
        <v>2626</v>
      </c>
      <c r="L426" s="607" t="s">
        <v>2627</v>
      </c>
      <c r="M426" s="607" t="s">
        <v>2628</v>
      </c>
      <c r="N426" s="607" t="s">
        <v>2629</v>
      </c>
      <c r="O426" s="607" t="s">
        <v>2630</v>
      </c>
      <c r="P426" s="607" t="s">
        <v>2631</v>
      </c>
      <c r="Q426" s="607" t="s">
        <v>2632</v>
      </c>
    </row>
    <row r="427" spans="1:17" s="607" customFormat="1" ht="15.75" customHeight="1">
      <c r="A427" s="607">
        <v>427</v>
      </c>
      <c r="B427" s="617" t="str">
        <f t="shared" si="6"/>
        <v>Type</v>
      </c>
      <c r="C427" s="601" t="s">
        <v>1</v>
      </c>
      <c r="D427" s="604" t="s">
        <v>661</v>
      </c>
      <c r="E427" s="604" t="s">
        <v>877</v>
      </c>
      <c r="F427" s="662" t="s">
        <v>2878</v>
      </c>
      <c r="G427" s="616"/>
      <c r="H427" s="655"/>
      <c r="J427" s="607" t="s">
        <v>2633</v>
      </c>
      <c r="L427" s="607" t="s">
        <v>2634</v>
      </c>
      <c r="M427" s="607" t="s">
        <v>2635</v>
      </c>
      <c r="N427" s="607" t="s">
        <v>2636</v>
      </c>
      <c r="O427" s="607" t="s">
        <v>2637</v>
      </c>
      <c r="P427" s="607" t="s">
        <v>2638</v>
      </c>
      <c r="Q427" s="607" t="s">
        <v>2639</v>
      </c>
    </row>
    <row r="428" spans="1:17" s="607" customFormat="1" ht="15.75" customHeight="1">
      <c r="A428" s="607">
        <v>428</v>
      </c>
      <c r="B428" s="617" t="str">
        <f t="shared" si="6"/>
        <v>Watts</v>
      </c>
      <c r="C428" s="601" t="s">
        <v>49</v>
      </c>
      <c r="D428" s="604" t="s">
        <v>49</v>
      </c>
      <c r="E428" s="604" t="s">
        <v>878</v>
      </c>
      <c r="F428" s="662" t="s">
        <v>2879</v>
      </c>
      <c r="G428" s="616"/>
      <c r="H428" s="655"/>
      <c r="J428" s="607" t="s">
        <v>2640</v>
      </c>
      <c r="L428" s="607" t="s">
        <v>2641</v>
      </c>
      <c r="M428" s="607" t="s">
        <v>2642</v>
      </c>
      <c r="N428" s="607" t="s">
        <v>2643</v>
      </c>
      <c r="O428" s="607" t="s">
        <v>2644</v>
      </c>
      <c r="P428" s="607" t="s">
        <v>2645</v>
      </c>
      <c r="Q428" s="607" t="s">
        <v>2646</v>
      </c>
    </row>
    <row r="429" spans="1:17" s="607" customFormat="1" ht="15.75" customHeight="1">
      <c r="B429" s="617" t="str">
        <f t="shared" si="6"/>
        <v>Fixtures/km</v>
      </c>
      <c r="C429" s="601" t="s">
        <v>55</v>
      </c>
      <c r="D429" s="604" t="s">
        <v>681</v>
      </c>
      <c r="E429" s="604" t="s">
        <v>892</v>
      </c>
      <c r="F429" s="662" t="s">
        <v>2900</v>
      </c>
      <c r="G429" s="616"/>
      <c r="H429" s="655"/>
      <c r="J429" s="607" t="s">
        <v>2647</v>
      </c>
    </row>
    <row r="430" spans="1:17" s="607" customFormat="1" ht="15.75" customHeight="1">
      <c r="B430" s="617" t="str">
        <f t="shared" ref="B430:B493" si="7">INDEX(C430:G430,MATCH($B$11,$C$11:$G$11,0))</f>
        <v>Number of Lanes</v>
      </c>
      <c r="C430" s="601" t="s">
        <v>5</v>
      </c>
      <c r="D430" s="604" t="s">
        <v>673</v>
      </c>
      <c r="E430" s="604" t="s">
        <v>885</v>
      </c>
      <c r="F430" s="662" t="s">
        <v>2890</v>
      </c>
      <c r="G430" s="616"/>
      <c r="H430" s="655"/>
      <c r="J430" s="607" t="s">
        <v>2648</v>
      </c>
    </row>
    <row r="431" spans="1:17" s="607" customFormat="1" ht="15.75" customHeight="1">
      <c r="B431" s="617" t="str">
        <f t="shared" si="7"/>
        <v>Lane Width</v>
      </c>
      <c r="C431" s="601" t="s">
        <v>6</v>
      </c>
      <c r="D431" s="604" t="s">
        <v>791</v>
      </c>
      <c r="E431" s="604" t="s">
        <v>978</v>
      </c>
      <c r="F431" s="662" t="s">
        <v>3028</v>
      </c>
      <c r="G431" s="616"/>
      <c r="H431" s="655"/>
      <c r="J431" s="607" t="s">
        <v>2649</v>
      </c>
    </row>
    <row r="432" spans="1:17" s="607" customFormat="1" ht="15.75" customHeight="1">
      <c r="B432" s="617" t="str">
        <f t="shared" si="7"/>
        <v>Shoulder Width</v>
      </c>
      <c r="C432" s="601" t="s">
        <v>33</v>
      </c>
      <c r="D432" s="604" t="s">
        <v>684</v>
      </c>
      <c r="E432" s="604" t="s">
        <v>895</v>
      </c>
      <c r="F432" s="662" t="s">
        <v>3169</v>
      </c>
      <c r="G432" s="616"/>
      <c r="H432" s="655"/>
    </row>
    <row r="433" spans="2:12" s="607" customFormat="1" ht="15.75" customHeight="1">
      <c r="B433" s="617" t="str">
        <f t="shared" si="7"/>
        <v>Median Width</v>
      </c>
      <c r="C433" s="601" t="s">
        <v>34</v>
      </c>
      <c r="D433" s="604" t="s">
        <v>682</v>
      </c>
      <c r="E433" s="604" t="s">
        <v>893</v>
      </c>
      <c r="F433" s="662" t="s">
        <v>3170</v>
      </c>
      <c r="G433" s="616"/>
      <c r="H433" s="655"/>
      <c r="J433" s="607" t="s">
        <v>2650</v>
      </c>
    </row>
    <row r="434" spans="2:12" s="607" customFormat="1" ht="15.75" customHeight="1">
      <c r="B434" s="617" t="str">
        <f t="shared" si="7"/>
        <v>Pole Placement</v>
      </c>
      <c r="C434" s="601" t="s">
        <v>15</v>
      </c>
      <c r="D434" s="604" t="s">
        <v>675</v>
      </c>
      <c r="E434" s="604" t="s">
        <v>887</v>
      </c>
      <c r="F434" s="662" t="s">
        <v>3171</v>
      </c>
      <c r="G434" s="616"/>
      <c r="H434" s="655"/>
      <c r="J434" s="607" t="s">
        <v>2651</v>
      </c>
    </row>
    <row r="435" spans="2:12" s="607" customFormat="1" ht="15.75" customHeight="1">
      <c r="B435" s="617" t="str">
        <f t="shared" si="7"/>
        <v>Luminaire Mounting Height</v>
      </c>
      <c r="C435" s="601" t="s">
        <v>1144</v>
      </c>
      <c r="D435" s="604" t="s">
        <v>1334</v>
      </c>
      <c r="E435" s="604" t="s">
        <v>1226</v>
      </c>
      <c r="F435" s="662" t="s">
        <v>3172</v>
      </c>
      <c r="G435" s="616"/>
      <c r="H435" s="655"/>
      <c r="J435" s="607" t="s">
        <v>2652</v>
      </c>
    </row>
    <row r="436" spans="2:12" s="607" customFormat="1" ht="15.75" customHeight="1">
      <c r="B436" s="617" t="str">
        <f t="shared" si="7"/>
        <v>Pole Spacing</v>
      </c>
      <c r="C436" s="601" t="s">
        <v>2</v>
      </c>
      <c r="D436" s="604" t="s">
        <v>794</v>
      </c>
      <c r="E436" s="604" t="s">
        <v>981</v>
      </c>
      <c r="F436" s="662" t="s">
        <v>3173</v>
      </c>
      <c r="G436" s="616"/>
      <c r="H436" s="655"/>
      <c r="J436" s="607" t="s">
        <v>2653</v>
      </c>
    </row>
    <row r="437" spans="2:12" s="607" customFormat="1" ht="15.75" customHeight="1">
      <c r="B437" s="617" t="str">
        <f t="shared" si="7"/>
        <v>Pole Setback</v>
      </c>
      <c r="C437" s="601" t="s">
        <v>3</v>
      </c>
      <c r="D437" s="604" t="s">
        <v>813</v>
      </c>
      <c r="E437" s="604" t="s">
        <v>997</v>
      </c>
      <c r="F437" s="662" t="s">
        <v>3174</v>
      </c>
      <c r="G437" s="616"/>
      <c r="H437" s="655"/>
      <c r="J437" s="607" t="s">
        <v>2654</v>
      </c>
    </row>
    <row r="438" spans="2:12" s="607" customFormat="1" ht="15.75" customHeight="1">
      <c r="B438" s="617" t="str">
        <f t="shared" si="7"/>
        <v>Arm Length</v>
      </c>
      <c r="C438" s="601" t="s">
        <v>1020</v>
      </c>
      <c r="D438" s="604" t="s">
        <v>1335</v>
      </c>
      <c r="E438" s="604" t="s">
        <v>891</v>
      </c>
      <c r="F438" s="662" t="s">
        <v>3106</v>
      </c>
      <c r="G438" s="616"/>
      <c r="H438" s="655"/>
      <c r="J438" s="607" t="s">
        <v>2655</v>
      </c>
    </row>
    <row r="439" spans="2:12" s="607" customFormat="1" ht="15.75" customHeight="1">
      <c r="B439" s="617" t="str">
        <f t="shared" si="7"/>
        <v>Lighting Output Multiplier</v>
      </c>
      <c r="C439" s="601" t="s">
        <v>1054</v>
      </c>
      <c r="D439" s="601" t="s">
        <v>1654</v>
      </c>
      <c r="E439" s="601" t="s">
        <v>1655</v>
      </c>
      <c r="F439" s="662" t="s">
        <v>3175</v>
      </c>
      <c r="G439" s="616"/>
      <c r="H439" s="655"/>
      <c r="J439" s="607" t="s">
        <v>2656</v>
      </c>
    </row>
    <row r="440" spans="2:12" s="607" customFormat="1" ht="15.75" customHeight="1">
      <c r="B440" s="617" t="str">
        <f t="shared" si="7"/>
        <v>Annual Energy</v>
      </c>
      <c r="C440" s="601" t="s">
        <v>20</v>
      </c>
      <c r="D440" s="604" t="s">
        <v>782</v>
      </c>
      <c r="E440" s="604" t="s">
        <v>972</v>
      </c>
      <c r="F440" s="662" t="s">
        <v>3176</v>
      </c>
      <c r="G440" s="616"/>
      <c r="H440" s="655"/>
      <c r="J440" s="607" t="s">
        <v>2657</v>
      </c>
    </row>
    <row r="441" spans="2:12" s="607" customFormat="1" ht="15.75" customHeight="1">
      <c r="B441" s="617" t="str">
        <f t="shared" si="7"/>
        <v>kWh/fixture</v>
      </c>
      <c r="C441" s="601" t="s">
        <v>21</v>
      </c>
      <c r="D441" s="604" t="s">
        <v>784</v>
      </c>
      <c r="E441" s="604" t="s">
        <v>974</v>
      </c>
      <c r="F441" s="662" t="s">
        <v>3177</v>
      </c>
      <c r="G441" s="616"/>
      <c r="H441" s="655"/>
      <c r="J441" s="607" t="s">
        <v>2658</v>
      </c>
    </row>
    <row r="442" spans="2:12" s="607" customFormat="1" ht="15.75" customHeight="1">
      <c r="B442" s="617" t="str">
        <f t="shared" si="7"/>
        <v>kWh/kilometer/yr</v>
      </c>
      <c r="C442" s="601" t="s">
        <v>57</v>
      </c>
      <c r="D442" s="604" t="s">
        <v>776</v>
      </c>
      <c r="E442" s="604" t="s">
        <v>968</v>
      </c>
      <c r="F442" s="662" t="s">
        <v>3178</v>
      </c>
      <c r="G442" s="616"/>
      <c r="H442" s="655"/>
      <c r="J442" s="607" t="s">
        <v>2659</v>
      </c>
    </row>
    <row r="443" spans="2:12" s="607" customFormat="1" ht="15.75" customHeight="1">
      <c r="B443" s="617" t="str">
        <f t="shared" si="7"/>
        <v>Illuminance</v>
      </c>
      <c r="C443" s="601" t="s">
        <v>17</v>
      </c>
      <c r="D443" s="604" t="s">
        <v>768</v>
      </c>
      <c r="E443" s="604" t="s">
        <v>959</v>
      </c>
      <c r="F443" s="662" t="s">
        <v>3179</v>
      </c>
      <c r="G443" s="616"/>
      <c r="H443" s="655"/>
      <c r="J443" s="607" t="s">
        <v>2660</v>
      </c>
    </row>
    <row r="444" spans="2:12" s="607" customFormat="1" ht="15.75" customHeight="1">
      <c r="B444" s="617" t="str">
        <f t="shared" si="7"/>
        <v>Average</v>
      </c>
      <c r="C444" s="601" t="s">
        <v>12</v>
      </c>
      <c r="D444" s="604" t="s">
        <v>767</v>
      </c>
      <c r="E444" s="604" t="s">
        <v>958</v>
      </c>
      <c r="F444" s="662" t="s">
        <v>3055</v>
      </c>
      <c r="G444" s="616"/>
      <c r="H444" s="655"/>
      <c r="J444" s="607" t="s">
        <v>2661</v>
      </c>
      <c r="L444" s="607" t="s">
        <v>2662</v>
      </c>
    </row>
    <row r="445" spans="2:12" s="607" customFormat="1" ht="15.75" customHeight="1">
      <c r="B445" s="617" t="str">
        <f t="shared" si="7"/>
        <v>Minimum</v>
      </c>
      <c r="C445" s="601" t="s">
        <v>1268</v>
      </c>
      <c r="D445" s="601" t="s">
        <v>1368</v>
      </c>
      <c r="E445" s="601" t="s">
        <v>1369</v>
      </c>
      <c r="F445" s="662" t="s">
        <v>3180</v>
      </c>
      <c r="G445" s="616"/>
      <c r="H445" s="655"/>
      <c r="J445" s="607" t="s">
        <v>2663</v>
      </c>
      <c r="L445" s="607" t="s">
        <v>2664</v>
      </c>
    </row>
    <row r="446" spans="2:12" s="607" customFormat="1" ht="15.75" customHeight="1">
      <c r="B446" s="617" t="str">
        <f t="shared" si="7"/>
        <v>Maximum</v>
      </c>
      <c r="C446" s="601" t="s">
        <v>1269</v>
      </c>
      <c r="D446" s="604" t="s">
        <v>1370</v>
      </c>
      <c r="E446" s="604" t="s">
        <v>1371</v>
      </c>
      <c r="F446" s="662" t="s">
        <v>3181</v>
      </c>
      <c r="G446" s="616"/>
      <c r="H446" s="655"/>
      <c r="J446" s="607" t="s">
        <v>2665</v>
      </c>
      <c r="L446" s="607" t="s">
        <v>2666</v>
      </c>
    </row>
    <row r="447" spans="2:12" s="607" customFormat="1" ht="15.75" customHeight="1">
      <c r="B447" s="617" t="str">
        <f t="shared" si="7"/>
        <v>Uniformity</v>
      </c>
      <c r="C447" s="601" t="s">
        <v>52</v>
      </c>
      <c r="D447" s="604" t="s">
        <v>769</v>
      </c>
      <c r="E447" s="604" t="s">
        <v>961</v>
      </c>
      <c r="F447" s="662" t="s">
        <v>3182</v>
      </c>
      <c r="G447" s="616"/>
      <c r="H447" s="655"/>
      <c r="J447" s="607" t="s">
        <v>2667</v>
      </c>
    </row>
    <row r="448" spans="2:12" s="607" customFormat="1" ht="15.75" customHeight="1">
      <c r="B448" s="617" t="str">
        <f t="shared" si="7"/>
        <v>Target Average</v>
      </c>
      <c r="C448" s="601" t="s">
        <v>1276</v>
      </c>
      <c r="D448" s="601" t="s">
        <v>1417</v>
      </c>
      <c r="E448" s="601" t="s">
        <v>1469</v>
      </c>
      <c r="F448" s="662" t="s">
        <v>3183</v>
      </c>
      <c r="G448" s="616"/>
      <c r="H448" s="655"/>
      <c r="J448" s="607" t="s">
        <v>2668</v>
      </c>
      <c r="L448" s="607" t="s">
        <v>2669</v>
      </c>
    </row>
    <row r="449" spans="2:13" s="607" customFormat="1" ht="15.75" customHeight="1">
      <c r="B449" s="617" t="str">
        <f t="shared" si="7"/>
        <v>Target Minimum</v>
      </c>
      <c r="C449" s="601" t="s">
        <v>1277</v>
      </c>
      <c r="D449" s="601" t="s">
        <v>1418</v>
      </c>
      <c r="E449" s="601" t="s">
        <v>1470</v>
      </c>
      <c r="F449" s="662" t="s">
        <v>3184</v>
      </c>
      <c r="G449" s="616"/>
      <c r="H449" s="655"/>
    </row>
    <row r="450" spans="2:13" s="607" customFormat="1" ht="15.75" customHeight="1">
      <c r="B450" s="617" t="str">
        <f t="shared" si="7"/>
        <v>Meets Illuminance?</v>
      </c>
      <c r="C450" s="601" t="s">
        <v>60</v>
      </c>
      <c r="D450" s="604" t="s">
        <v>1336</v>
      </c>
      <c r="E450" s="604" t="s">
        <v>993</v>
      </c>
      <c r="F450" s="662" t="s">
        <v>3185</v>
      </c>
      <c r="G450" s="616"/>
      <c r="H450" s="655"/>
      <c r="J450" s="607" t="s">
        <v>2670</v>
      </c>
    </row>
    <row r="451" spans="2:13" s="607" customFormat="1" ht="15.75" customHeight="1">
      <c r="B451" s="617" t="str">
        <f t="shared" si="7"/>
        <v>Luminance</v>
      </c>
      <c r="C451" s="601" t="s">
        <v>199</v>
      </c>
      <c r="D451" s="604" t="s">
        <v>199</v>
      </c>
      <c r="E451" s="604" t="s">
        <v>960</v>
      </c>
      <c r="F451" s="662" t="s">
        <v>3186</v>
      </c>
      <c r="G451" s="616"/>
      <c r="H451" s="655"/>
      <c r="J451" s="607" t="s">
        <v>2671</v>
      </c>
    </row>
    <row r="452" spans="2:13" s="607" customFormat="1" ht="15.75" customHeight="1">
      <c r="B452" s="617" t="str">
        <f t="shared" si="7"/>
        <v>Uniformity - Lavg/Lmin</v>
      </c>
      <c r="C452" s="601" t="s">
        <v>1278</v>
      </c>
      <c r="D452" s="601" t="s">
        <v>1376</v>
      </c>
      <c r="E452" s="601" t="s">
        <v>1377</v>
      </c>
      <c r="F452" s="662" t="s">
        <v>3187</v>
      </c>
      <c r="G452" s="616"/>
      <c r="H452" s="655"/>
      <c r="I452" s="607" t="s">
        <v>2672</v>
      </c>
    </row>
    <row r="453" spans="2:13" s="607" customFormat="1" ht="15.75" customHeight="1">
      <c r="B453" s="617" t="str">
        <f t="shared" si="7"/>
        <v>Uniformity - Lmax/Lmin</v>
      </c>
      <c r="C453" s="601" t="s">
        <v>1279</v>
      </c>
      <c r="D453" s="601" t="s">
        <v>1378</v>
      </c>
      <c r="E453" s="601" t="s">
        <v>1379</v>
      </c>
      <c r="F453" s="662" t="s">
        <v>3188</v>
      </c>
      <c r="G453" s="616"/>
      <c r="H453" s="655"/>
      <c r="I453" s="607" t="s">
        <v>2673</v>
      </c>
    </row>
    <row r="454" spans="2:13" s="607" customFormat="1" ht="15.75" customHeight="1">
      <c r="B454" s="617" t="str">
        <f t="shared" si="7"/>
        <v>Overall Uniformity (min/avg)</v>
      </c>
      <c r="C454" s="601" t="s">
        <v>1325</v>
      </c>
      <c r="D454" s="601" t="s">
        <v>1380</v>
      </c>
      <c r="E454" s="601" t="s">
        <v>1381</v>
      </c>
      <c r="F454" s="662" t="s">
        <v>3189</v>
      </c>
      <c r="G454" s="616"/>
      <c r="H454" s="655"/>
      <c r="I454" s="607" t="s">
        <v>2674</v>
      </c>
      <c r="J454" s="607" t="s">
        <v>2675</v>
      </c>
      <c r="L454" s="607" t="s">
        <v>2304</v>
      </c>
    </row>
    <row r="455" spans="2:13" s="607" customFormat="1" ht="15.75" customHeight="1">
      <c r="B455" s="617" t="str">
        <f t="shared" si="7"/>
        <v>Longitudinal Uniformity (min/max)</v>
      </c>
      <c r="C455" s="601" t="s">
        <v>1349</v>
      </c>
      <c r="D455" s="601" t="s">
        <v>1382</v>
      </c>
      <c r="E455" s="601" t="s">
        <v>1383</v>
      </c>
      <c r="F455" s="662" t="s">
        <v>3190</v>
      </c>
      <c r="G455" s="616"/>
      <c r="H455" s="655"/>
      <c r="I455" s="607" t="s">
        <v>2676</v>
      </c>
      <c r="J455" s="607" t="s">
        <v>2677</v>
      </c>
      <c r="L455" s="607" t="s">
        <v>2306</v>
      </c>
    </row>
    <row r="456" spans="2:13" s="607" customFormat="1" ht="15.75" customHeight="1">
      <c r="B456" s="617" t="str">
        <f t="shared" si="7"/>
        <v>Target Uniformity - avg/min</v>
      </c>
      <c r="C456" s="601" t="s">
        <v>1280</v>
      </c>
      <c r="D456" s="601" t="s">
        <v>1419</v>
      </c>
      <c r="E456" s="601" t="s">
        <v>1471</v>
      </c>
      <c r="F456" s="662" t="s">
        <v>3191</v>
      </c>
      <c r="G456" s="616"/>
      <c r="H456" s="655"/>
      <c r="I456" s="607" t="s">
        <v>2678</v>
      </c>
    </row>
    <row r="457" spans="2:13" s="607" customFormat="1" ht="15.75" customHeight="1">
      <c r="B457" s="617" t="str">
        <f t="shared" si="7"/>
        <v>Target Uniformity - max/min</v>
      </c>
      <c r="C457" s="601" t="s">
        <v>1281</v>
      </c>
      <c r="D457" s="601" t="s">
        <v>1420</v>
      </c>
      <c r="E457" s="601" t="s">
        <v>1472</v>
      </c>
      <c r="F457" s="662" t="s">
        <v>3192</v>
      </c>
      <c r="G457" s="616"/>
      <c r="H457" s="655"/>
      <c r="I457" s="607" t="s">
        <v>2679</v>
      </c>
    </row>
    <row r="458" spans="2:13" s="607" customFormat="1" ht="15.75" customHeight="1">
      <c r="B458" s="617" t="str">
        <f t="shared" si="7"/>
        <v>Meets Luminance?</v>
      </c>
      <c r="C458" s="601" t="s">
        <v>209</v>
      </c>
      <c r="D458" s="604" t="s">
        <v>817</v>
      </c>
      <c r="E458" s="604" t="s">
        <v>993</v>
      </c>
      <c r="F458" s="662" t="s">
        <v>3193</v>
      </c>
      <c r="G458" s="616"/>
      <c r="H458" s="655"/>
      <c r="I458" s="607" t="s">
        <v>2680</v>
      </c>
      <c r="J458" s="607" t="s">
        <v>2681</v>
      </c>
    </row>
    <row r="459" spans="2:13" s="607" customFormat="1" ht="15.75" customHeight="1">
      <c r="B459" s="617" t="str">
        <f t="shared" si="7"/>
        <v>Target Overall Uniformity (min/avg)</v>
      </c>
      <c r="C459" s="601" t="s">
        <v>1326</v>
      </c>
      <c r="D459" s="601" t="s">
        <v>1421</v>
      </c>
      <c r="E459" s="601" t="s">
        <v>1473</v>
      </c>
      <c r="F459" s="662" t="s">
        <v>3194</v>
      </c>
      <c r="G459" s="616"/>
      <c r="H459" s="655"/>
      <c r="I459" s="607" t="s">
        <v>2682</v>
      </c>
      <c r="J459" s="607" t="s">
        <v>2477</v>
      </c>
      <c r="L459" s="607" t="s">
        <v>2478</v>
      </c>
      <c r="M459" s="607" t="s">
        <v>2480</v>
      </c>
    </row>
    <row r="460" spans="2:13" s="607" customFormat="1" ht="15.75" customHeight="1">
      <c r="B460" s="617" t="str">
        <f t="shared" si="7"/>
        <v>Target Longitudinal Uniformity (max/min)</v>
      </c>
      <c r="C460" s="601" t="s">
        <v>1327</v>
      </c>
      <c r="D460" s="601" t="s">
        <v>1422</v>
      </c>
      <c r="E460" s="601" t="s">
        <v>1474</v>
      </c>
      <c r="F460" s="662" t="s">
        <v>3195</v>
      </c>
      <c r="G460" s="616"/>
      <c r="H460" s="655"/>
      <c r="I460" s="607" t="s">
        <v>2683</v>
      </c>
      <c r="J460" s="607" t="s">
        <v>2481</v>
      </c>
    </row>
    <row r="461" spans="2:13" s="607" customFormat="1" ht="15.75" customHeight="1">
      <c r="B461" s="617" t="str">
        <f t="shared" si="7"/>
        <v>Simple Payback</v>
      </c>
      <c r="C461" s="601" t="s">
        <v>1125</v>
      </c>
      <c r="D461" s="604" t="s">
        <v>1337</v>
      </c>
      <c r="E461" s="604" t="s">
        <v>1234</v>
      </c>
      <c r="F461" s="662" t="s">
        <v>3123</v>
      </c>
      <c r="G461" s="616"/>
      <c r="H461" s="655"/>
      <c r="J461" s="607" t="s">
        <v>2684</v>
      </c>
    </row>
    <row r="462" spans="2:13" s="607" customFormat="1" ht="15.75" customHeight="1">
      <c r="B462" s="617" t="str">
        <f t="shared" si="7"/>
        <v>Total Installation Cost</v>
      </c>
      <c r="C462" s="601" t="s">
        <v>1126</v>
      </c>
      <c r="D462" s="604" t="s">
        <v>1338</v>
      </c>
      <c r="E462" s="604" t="s">
        <v>1235</v>
      </c>
      <c r="F462" s="662" t="s">
        <v>3124</v>
      </c>
      <c r="G462" s="616"/>
      <c r="H462" s="655"/>
      <c r="J462" s="607" t="s">
        <v>2685</v>
      </c>
    </row>
    <row r="463" spans="2:13" s="607" customFormat="1" ht="15.75" customHeight="1">
      <c r="B463" s="617" t="str">
        <f t="shared" si="7"/>
        <v>Total Annual Cost</v>
      </c>
      <c r="C463" s="601" t="s">
        <v>1127</v>
      </c>
      <c r="D463" s="604" t="s">
        <v>1339</v>
      </c>
      <c r="E463" s="604" t="s">
        <v>1236</v>
      </c>
      <c r="F463" s="662" t="s">
        <v>3125</v>
      </c>
      <c r="G463" s="616"/>
      <c r="H463" s="655"/>
      <c r="J463" s="607" t="s">
        <v>2686</v>
      </c>
    </row>
    <row r="464" spans="2:13" s="607" customFormat="1" ht="15.75" customHeight="1">
      <c r="B464" s="617" t="str">
        <f t="shared" si="7"/>
        <v>Installation Cost Difference (to baseline)</v>
      </c>
      <c r="C464" s="601" t="s">
        <v>1129</v>
      </c>
      <c r="D464" s="604" t="s">
        <v>1169</v>
      </c>
      <c r="E464" s="604" t="s">
        <v>1237</v>
      </c>
      <c r="F464" s="662" t="s">
        <v>3196</v>
      </c>
      <c r="G464" s="616"/>
      <c r="H464" s="655"/>
      <c r="J464" s="607" t="s">
        <v>2687</v>
      </c>
    </row>
    <row r="465" spans="2:12" s="607" customFormat="1" ht="15.75" customHeight="1">
      <c r="B465" s="617" t="str">
        <f t="shared" si="7"/>
        <v>Annual Cost Savings (to baseline)</v>
      </c>
      <c r="C465" s="601" t="s">
        <v>1128</v>
      </c>
      <c r="D465" s="604" t="s">
        <v>1170</v>
      </c>
      <c r="E465" s="604" t="s">
        <v>1238</v>
      </c>
      <c r="F465" s="662" t="s">
        <v>3197</v>
      </c>
      <c r="G465" s="616"/>
      <c r="H465" s="655"/>
      <c r="J465" s="607" t="s">
        <v>2688</v>
      </c>
    </row>
    <row r="466" spans="2:12" s="607" customFormat="1" ht="15.75" customHeight="1">
      <c r="B466" s="617" t="str">
        <f t="shared" si="7"/>
        <v>Simple Payback</v>
      </c>
      <c r="C466" s="601" t="s">
        <v>1125</v>
      </c>
      <c r="D466" s="604" t="s">
        <v>1337</v>
      </c>
      <c r="E466" s="604" t="s">
        <v>1234</v>
      </c>
      <c r="F466" s="662" t="s">
        <v>3123</v>
      </c>
      <c r="G466" s="616"/>
      <c r="H466" s="655"/>
      <c r="J466" s="607" t="s">
        <v>2689</v>
      </c>
    </row>
    <row r="467" spans="2:12" s="607" customFormat="1" ht="15.75" customHeight="1">
      <c r="B467" s="617" t="str">
        <f t="shared" si="7"/>
        <v>Net Present Value - Total Cost of Ownership</v>
      </c>
      <c r="C467" s="601" t="s">
        <v>1133</v>
      </c>
      <c r="D467" s="604" t="s">
        <v>1171</v>
      </c>
      <c r="E467" s="604" t="s">
        <v>1239</v>
      </c>
      <c r="F467" s="662" t="s">
        <v>3128</v>
      </c>
      <c r="G467" s="616"/>
      <c r="H467" s="655"/>
      <c r="J467" s="607" t="s">
        <v>2690</v>
      </c>
    </row>
    <row r="468" spans="2:12" s="607" customFormat="1" ht="15.75" customHeight="1">
      <c r="B468" s="617" t="str">
        <f t="shared" si="7"/>
        <v>Year 0</v>
      </c>
      <c r="C468" s="601" t="s">
        <v>1282</v>
      </c>
      <c r="D468" s="601" t="s">
        <v>1423</v>
      </c>
      <c r="E468" s="603" t="s">
        <v>1384</v>
      </c>
      <c r="F468" s="662" t="s">
        <v>3198</v>
      </c>
      <c r="G468" s="616"/>
      <c r="H468" s="655"/>
      <c r="J468" s="607" t="s">
        <v>2691</v>
      </c>
    </row>
    <row r="469" spans="2:12" s="607" customFormat="1" ht="15.75" customHeight="1">
      <c r="B469" s="617" t="str">
        <f t="shared" si="7"/>
        <v>Year 1</v>
      </c>
      <c r="C469" s="601" t="s">
        <v>1283</v>
      </c>
      <c r="D469" s="601" t="s">
        <v>1424</v>
      </c>
      <c r="E469" s="603" t="s">
        <v>1385</v>
      </c>
      <c r="F469" s="663" t="s">
        <v>3199</v>
      </c>
      <c r="G469" s="616"/>
      <c r="H469" s="655"/>
      <c r="J469" s="607" t="s">
        <v>2692</v>
      </c>
      <c r="L469" s="607" t="s">
        <v>2693</v>
      </c>
    </row>
    <row r="470" spans="2:12" s="607" customFormat="1" ht="15.75" customHeight="1">
      <c r="B470" s="617" t="str">
        <f t="shared" si="7"/>
        <v>Year 2</v>
      </c>
      <c r="C470" s="601" t="s">
        <v>1284</v>
      </c>
      <c r="D470" s="601" t="s">
        <v>1425</v>
      </c>
      <c r="E470" s="603" t="s">
        <v>1386</v>
      </c>
      <c r="F470" s="662" t="s">
        <v>3200</v>
      </c>
      <c r="G470" s="616"/>
      <c r="H470" s="655"/>
      <c r="J470" s="607" t="s">
        <v>2694</v>
      </c>
      <c r="L470" s="607" t="s">
        <v>2695</v>
      </c>
    </row>
    <row r="471" spans="2:12" s="607" customFormat="1" ht="15.75" customHeight="1">
      <c r="B471" s="617" t="str">
        <f t="shared" si="7"/>
        <v>Year 3</v>
      </c>
      <c r="C471" s="601" t="s">
        <v>1285</v>
      </c>
      <c r="D471" s="601" t="s">
        <v>1426</v>
      </c>
      <c r="E471" s="603" t="s">
        <v>1387</v>
      </c>
      <c r="F471" s="662" t="s">
        <v>3201</v>
      </c>
      <c r="G471" s="616"/>
      <c r="H471" s="655"/>
      <c r="J471" s="607" t="s">
        <v>2696</v>
      </c>
      <c r="L471" s="607" t="s">
        <v>2697</v>
      </c>
    </row>
    <row r="472" spans="2:12" s="607" customFormat="1" ht="15.75" customHeight="1">
      <c r="B472" s="617" t="str">
        <f t="shared" si="7"/>
        <v>Year 4</v>
      </c>
      <c r="C472" s="601" t="s">
        <v>1286</v>
      </c>
      <c r="D472" s="601" t="s">
        <v>1427</v>
      </c>
      <c r="E472" s="603" t="s">
        <v>1388</v>
      </c>
      <c r="F472" s="663" t="s">
        <v>3202</v>
      </c>
      <c r="G472" s="616"/>
      <c r="H472" s="655"/>
      <c r="J472" s="607" t="s">
        <v>2698</v>
      </c>
      <c r="L472" s="607" t="s">
        <v>2699</v>
      </c>
    </row>
    <row r="473" spans="2:12" s="607" customFormat="1" ht="15.75" customHeight="1">
      <c r="B473" s="617" t="str">
        <f t="shared" si="7"/>
        <v>Year 5</v>
      </c>
      <c r="C473" s="601" t="s">
        <v>1287</v>
      </c>
      <c r="D473" s="601" t="s">
        <v>1428</v>
      </c>
      <c r="E473" s="603" t="s">
        <v>1389</v>
      </c>
      <c r="F473" s="662" t="s">
        <v>3203</v>
      </c>
      <c r="G473" s="616"/>
      <c r="H473" s="655"/>
      <c r="J473" s="607" t="s">
        <v>2700</v>
      </c>
      <c r="L473" s="607" t="s">
        <v>2701</v>
      </c>
    </row>
    <row r="474" spans="2:12" s="607" customFormat="1" ht="15.75" customHeight="1">
      <c r="B474" s="617" t="str">
        <f t="shared" si="7"/>
        <v>Year 6</v>
      </c>
      <c r="C474" s="601" t="s">
        <v>1288</v>
      </c>
      <c r="D474" s="601" t="s">
        <v>1429</v>
      </c>
      <c r="E474" s="603" t="s">
        <v>1390</v>
      </c>
      <c r="F474" s="663" t="s">
        <v>3204</v>
      </c>
      <c r="G474" s="616"/>
      <c r="H474" s="655"/>
      <c r="J474" s="607" t="s">
        <v>2702</v>
      </c>
      <c r="L474" s="607" t="s">
        <v>2703</v>
      </c>
    </row>
    <row r="475" spans="2:12" s="607" customFormat="1" ht="15.75" customHeight="1">
      <c r="B475" s="617" t="str">
        <f t="shared" si="7"/>
        <v>Year 7</v>
      </c>
      <c r="C475" s="601" t="s">
        <v>1289</v>
      </c>
      <c r="D475" s="601" t="s">
        <v>1430</v>
      </c>
      <c r="E475" s="603" t="s">
        <v>1391</v>
      </c>
      <c r="F475" s="662" t="s">
        <v>3205</v>
      </c>
      <c r="G475" s="616"/>
      <c r="H475" s="655"/>
      <c r="J475" s="607" t="s">
        <v>2704</v>
      </c>
      <c r="L475" s="607" t="s">
        <v>2705</v>
      </c>
    </row>
    <row r="476" spans="2:12" s="607" customFormat="1" ht="15.75" customHeight="1">
      <c r="B476" s="617" t="str">
        <f t="shared" si="7"/>
        <v>Year 8</v>
      </c>
      <c r="C476" s="601" t="s">
        <v>1290</v>
      </c>
      <c r="D476" s="601" t="s">
        <v>1431</v>
      </c>
      <c r="E476" s="603" t="s">
        <v>1392</v>
      </c>
      <c r="F476" s="663" t="s">
        <v>3206</v>
      </c>
      <c r="G476" s="616"/>
      <c r="H476" s="655"/>
      <c r="J476" s="607" t="s">
        <v>2706</v>
      </c>
      <c r="L476" s="607" t="s">
        <v>2707</v>
      </c>
    </row>
    <row r="477" spans="2:12" s="607" customFormat="1" ht="15.75" customHeight="1">
      <c r="B477" s="617" t="str">
        <f t="shared" si="7"/>
        <v>Year 9</v>
      </c>
      <c r="C477" s="601" t="s">
        <v>1291</v>
      </c>
      <c r="D477" s="601" t="s">
        <v>1432</v>
      </c>
      <c r="E477" s="603" t="s">
        <v>1393</v>
      </c>
      <c r="F477" s="663" t="s">
        <v>3207</v>
      </c>
      <c r="G477" s="616"/>
      <c r="H477" s="655"/>
      <c r="J477" s="607" t="s">
        <v>2708</v>
      </c>
      <c r="L477" s="607" t="s">
        <v>2709</v>
      </c>
    </row>
    <row r="478" spans="2:12" s="607" customFormat="1" ht="15.75" customHeight="1">
      <c r="B478" s="617" t="str">
        <f t="shared" si="7"/>
        <v>Year 10</v>
      </c>
      <c r="C478" s="601" t="s">
        <v>1292</v>
      </c>
      <c r="D478" s="601" t="s">
        <v>1433</v>
      </c>
      <c r="E478" s="603" t="s">
        <v>1394</v>
      </c>
      <c r="F478" s="663" t="s">
        <v>3208</v>
      </c>
      <c r="G478" s="616"/>
      <c r="H478" s="655"/>
      <c r="J478" s="607" t="s">
        <v>2710</v>
      </c>
      <c r="L478" s="607" t="s">
        <v>2711</v>
      </c>
    </row>
    <row r="479" spans="2:12" s="607" customFormat="1" ht="15.75" customHeight="1">
      <c r="B479" s="617" t="str">
        <f t="shared" si="7"/>
        <v>Year 11</v>
      </c>
      <c r="C479" s="601" t="s">
        <v>1293</v>
      </c>
      <c r="D479" s="601" t="s">
        <v>1434</v>
      </c>
      <c r="E479" s="603" t="s">
        <v>1395</v>
      </c>
      <c r="F479" s="663" t="s">
        <v>3209</v>
      </c>
      <c r="G479" s="616"/>
      <c r="H479" s="655"/>
      <c r="J479" s="607" t="s">
        <v>2712</v>
      </c>
      <c r="L479" s="607" t="s">
        <v>2713</v>
      </c>
    </row>
    <row r="480" spans="2:12" s="607" customFormat="1" ht="15.75" customHeight="1">
      <c r="B480" s="617" t="str">
        <f t="shared" si="7"/>
        <v>Year 12</v>
      </c>
      <c r="C480" s="601" t="s">
        <v>1294</v>
      </c>
      <c r="D480" s="601" t="s">
        <v>1435</v>
      </c>
      <c r="E480" s="603" t="s">
        <v>1396</v>
      </c>
      <c r="F480" s="663" t="s">
        <v>3210</v>
      </c>
      <c r="G480" s="616"/>
      <c r="H480" s="655"/>
      <c r="J480" s="607" t="s">
        <v>2714</v>
      </c>
      <c r="L480" s="607" t="s">
        <v>2715</v>
      </c>
    </row>
    <row r="481" spans="2:12" s="607" customFormat="1" ht="15.75" customHeight="1">
      <c r="B481" s="617" t="str">
        <f t="shared" si="7"/>
        <v>Year 13</v>
      </c>
      <c r="C481" s="601" t="s">
        <v>1295</v>
      </c>
      <c r="D481" s="601" t="s">
        <v>1436</v>
      </c>
      <c r="E481" s="603" t="s">
        <v>1397</v>
      </c>
      <c r="F481" s="663" t="s">
        <v>3211</v>
      </c>
      <c r="G481" s="616"/>
      <c r="H481" s="655"/>
      <c r="J481" s="607" t="s">
        <v>2716</v>
      </c>
      <c r="L481" s="607" t="s">
        <v>2717</v>
      </c>
    </row>
    <row r="482" spans="2:12" s="607" customFormat="1" ht="15.75" customHeight="1">
      <c r="B482" s="617" t="str">
        <f t="shared" si="7"/>
        <v>Year 14</v>
      </c>
      <c r="C482" s="601" t="s">
        <v>1296</v>
      </c>
      <c r="D482" s="601" t="s">
        <v>1437</v>
      </c>
      <c r="E482" s="603" t="s">
        <v>1398</v>
      </c>
      <c r="F482" s="663" t="s">
        <v>3212</v>
      </c>
      <c r="G482" s="616"/>
      <c r="H482" s="655"/>
      <c r="J482" s="607" t="s">
        <v>2718</v>
      </c>
      <c r="L482" s="607" t="s">
        <v>2719</v>
      </c>
    </row>
    <row r="483" spans="2:12" s="607" customFormat="1" ht="15.75" customHeight="1">
      <c r="B483" s="617" t="str">
        <f t="shared" si="7"/>
        <v>Year 15</v>
      </c>
      <c r="C483" s="601" t="s">
        <v>1297</v>
      </c>
      <c r="D483" s="601" t="s">
        <v>1438</v>
      </c>
      <c r="E483" s="603" t="s">
        <v>1399</v>
      </c>
      <c r="F483" s="663" t="s">
        <v>3213</v>
      </c>
      <c r="G483" s="616"/>
      <c r="H483" s="655"/>
      <c r="J483" s="607" t="s">
        <v>2720</v>
      </c>
      <c r="L483" s="607" t="s">
        <v>2721</v>
      </c>
    </row>
    <row r="484" spans="2:12" s="607" customFormat="1" ht="15.75" customHeight="1">
      <c r="B484" s="617" t="str">
        <f t="shared" si="7"/>
        <v>Year 16</v>
      </c>
      <c r="C484" s="601" t="s">
        <v>1298</v>
      </c>
      <c r="D484" s="601" t="s">
        <v>1439</v>
      </c>
      <c r="E484" s="603" t="s">
        <v>1400</v>
      </c>
      <c r="F484" s="663" t="s">
        <v>3214</v>
      </c>
      <c r="G484" s="616"/>
      <c r="H484" s="655"/>
      <c r="J484" s="607" t="s">
        <v>2722</v>
      </c>
      <c r="L484" s="607" t="s">
        <v>2723</v>
      </c>
    </row>
    <row r="485" spans="2:12" s="607" customFormat="1" ht="15.75" customHeight="1">
      <c r="B485" s="617" t="str">
        <f t="shared" si="7"/>
        <v>Year 17</v>
      </c>
      <c r="C485" s="601" t="s">
        <v>1299</v>
      </c>
      <c r="D485" s="601" t="s">
        <v>1440</v>
      </c>
      <c r="E485" s="603" t="s">
        <v>1401</v>
      </c>
      <c r="F485" s="663" t="s">
        <v>3215</v>
      </c>
      <c r="G485" s="616"/>
      <c r="H485" s="655"/>
      <c r="J485" s="607" t="s">
        <v>2724</v>
      </c>
      <c r="L485" s="607" t="s">
        <v>2725</v>
      </c>
    </row>
    <row r="486" spans="2:12" s="607" customFormat="1" ht="15.75" customHeight="1">
      <c r="B486" s="617" t="str">
        <f t="shared" si="7"/>
        <v>Year 18</v>
      </c>
      <c r="C486" s="601" t="s">
        <v>1300</v>
      </c>
      <c r="D486" s="601" t="s">
        <v>1441</v>
      </c>
      <c r="E486" s="603" t="s">
        <v>1402</v>
      </c>
      <c r="F486" s="662" t="s">
        <v>3216</v>
      </c>
      <c r="G486" s="616"/>
      <c r="H486" s="655"/>
      <c r="J486" s="607" t="s">
        <v>2726</v>
      </c>
      <c r="L486" s="607" t="s">
        <v>2727</v>
      </c>
    </row>
    <row r="487" spans="2:12" s="607" customFormat="1" ht="15.75" customHeight="1">
      <c r="B487" s="617" t="str">
        <f t="shared" si="7"/>
        <v>Year 19</v>
      </c>
      <c r="C487" s="601" t="s">
        <v>1301</v>
      </c>
      <c r="D487" s="601" t="s">
        <v>1442</v>
      </c>
      <c r="E487" s="603" t="s">
        <v>1403</v>
      </c>
      <c r="F487" s="662" t="s">
        <v>3217</v>
      </c>
      <c r="G487" s="616"/>
      <c r="H487" s="655"/>
      <c r="J487" s="607" t="s">
        <v>2728</v>
      </c>
      <c r="L487" s="607" t="s">
        <v>2729</v>
      </c>
    </row>
    <row r="488" spans="2:12" s="607" customFormat="1" ht="15.75" customHeight="1">
      <c r="B488" s="617" t="str">
        <f t="shared" si="7"/>
        <v>Year 20</v>
      </c>
      <c r="C488" s="601" t="s">
        <v>1302</v>
      </c>
      <c r="D488" s="601" t="s">
        <v>1443</v>
      </c>
      <c r="E488" s="603" t="s">
        <v>1404</v>
      </c>
      <c r="F488" s="663" t="s">
        <v>3218</v>
      </c>
      <c r="G488" s="616"/>
      <c r="H488" s="655"/>
      <c r="J488" s="607" t="s">
        <v>2730</v>
      </c>
      <c r="L488" s="607" t="s">
        <v>2731</v>
      </c>
    </row>
    <row r="489" spans="2:12" s="607" customFormat="1" ht="15.75" customHeight="1">
      <c r="B489" s="617" t="str">
        <f t="shared" si="7"/>
        <v>Charts</v>
      </c>
      <c r="C489" s="601" t="s">
        <v>1315</v>
      </c>
      <c r="D489" s="601" t="s">
        <v>1444</v>
      </c>
      <c r="E489" s="601" t="s">
        <v>1475</v>
      </c>
      <c r="F489" s="661" t="s">
        <v>3219</v>
      </c>
      <c r="G489" s="616"/>
      <c r="H489" s="655"/>
    </row>
    <row r="490" spans="2:12" s="607" customFormat="1" ht="15.75" customHeight="1">
      <c r="B490" s="617" t="str">
        <f t="shared" si="7"/>
        <v>Wattage</v>
      </c>
      <c r="C490" s="601" t="s">
        <v>41</v>
      </c>
      <c r="D490" s="601" t="s">
        <v>1445</v>
      </c>
      <c r="E490" s="601" t="s">
        <v>1476</v>
      </c>
      <c r="F490" s="661" t="s">
        <v>3220</v>
      </c>
      <c r="G490" s="616"/>
      <c r="H490" s="655"/>
    </row>
    <row r="491" spans="2:12" s="607" customFormat="1" ht="15.75" customHeight="1">
      <c r="B491" s="617" t="str">
        <f t="shared" si="7"/>
        <v>Illuminance</v>
      </c>
      <c r="C491" s="601" t="s">
        <v>17</v>
      </c>
      <c r="D491" s="604" t="s">
        <v>768</v>
      </c>
      <c r="E491" s="604" t="s">
        <v>959</v>
      </c>
      <c r="F491" s="661" t="s">
        <v>3007</v>
      </c>
      <c r="G491" s="616"/>
      <c r="H491" s="655"/>
    </row>
    <row r="492" spans="2:12" s="607" customFormat="1" ht="15.75" customHeight="1">
      <c r="B492" s="617" t="str">
        <f t="shared" si="7"/>
        <v>Luminance</v>
      </c>
      <c r="C492" s="601" t="s">
        <v>199</v>
      </c>
      <c r="D492" s="604" t="s">
        <v>199</v>
      </c>
      <c r="E492" s="604" t="s">
        <v>960</v>
      </c>
      <c r="F492" s="661" t="s">
        <v>3008</v>
      </c>
      <c r="G492" s="616"/>
      <c r="H492" s="655"/>
    </row>
    <row r="493" spans="2:12" s="607" customFormat="1" ht="15.75" customHeight="1">
      <c r="B493" s="617" t="str">
        <f t="shared" si="7"/>
        <v>Baseline</v>
      </c>
      <c r="C493" s="601" t="s">
        <v>22</v>
      </c>
      <c r="D493" s="601" t="s">
        <v>1453</v>
      </c>
      <c r="E493" s="601" t="s">
        <v>1454</v>
      </c>
      <c r="F493" s="662" t="s">
        <v>3005</v>
      </c>
      <c r="G493" s="616"/>
      <c r="H493" s="655"/>
    </row>
    <row r="494" spans="2:12" s="607" customFormat="1" ht="15.75" customHeight="1">
      <c r="B494" s="617" t="str">
        <f t="shared" ref="B494:B557" si="8">INDEX(C494:G494,MATCH($B$11,$C$11:$G$11,0))</f>
        <v>Passes</v>
      </c>
      <c r="C494" s="601" t="s">
        <v>1316</v>
      </c>
      <c r="D494" s="601" t="s">
        <v>1446</v>
      </c>
      <c r="E494" s="604" t="s">
        <v>1477</v>
      </c>
      <c r="F494" s="661" t="s">
        <v>3221</v>
      </c>
      <c r="G494" s="616"/>
      <c r="H494" s="655"/>
    </row>
    <row r="495" spans="2:12" s="607" customFormat="1" ht="15.75" customHeight="1">
      <c r="B495" s="617" t="str">
        <f t="shared" si="8"/>
        <v>Fails</v>
      </c>
      <c r="C495" s="601" t="s">
        <v>1317</v>
      </c>
      <c r="D495" s="601" t="s">
        <v>1447</v>
      </c>
      <c r="E495" s="604" t="s">
        <v>1478</v>
      </c>
      <c r="F495" s="661" t="s">
        <v>3222</v>
      </c>
      <c r="G495" s="616"/>
      <c r="H495" s="655"/>
    </row>
    <row r="496" spans="2:12" s="607" customFormat="1" ht="15.75" customHeight="1">
      <c r="B496" s="617" t="str">
        <f t="shared" si="8"/>
        <v>Target-Average Illuminance</v>
      </c>
      <c r="C496" s="601" t="s">
        <v>1318</v>
      </c>
      <c r="D496" s="601" t="s">
        <v>1448</v>
      </c>
      <c r="E496" s="601" t="s">
        <v>1479</v>
      </c>
      <c r="F496" s="663" t="s">
        <v>3223</v>
      </c>
      <c r="G496" s="616"/>
      <c r="H496" s="655"/>
    </row>
    <row r="497" spans="2:13" s="607" customFormat="1" ht="15.75" customHeight="1">
      <c r="B497" s="617" t="str">
        <f t="shared" si="8"/>
        <v>Average Illuminance</v>
      </c>
      <c r="C497" s="601" t="s">
        <v>39</v>
      </c>
      <c r="D497" s="601" t="s">
        <v>814</v>
      </c>
      <c r="E497" s="601" t="s">
        <v>1359</v>
      </c>
      <c r="F497" s="661" t="s">
        <v>3035</v>
      </c>
      <c r="G497" s="616"/>
      <c r="H497" s="655"/>
    </row>
    <row r="498" spans="2:13" s="607" customFormat="1" ht="15.75" customHeight="1">
      <c r="B498" s="617" t="str">
        <f t="shared" si="8"/>
        <v>Target-Average Luminance</v>
      </c>
      <c r="C498" s="601" t="s">
        <v>1319</v>
      </c>
      <c r="D498" s="601" t="s">
        <v>1656</v>
      </c>
      <c r="E498" s="601" t="s">
        <v>1480</v>
      </c>
      <c r="F498" s="661" t="s">
        <v>3224</v>
      </c>
      <c r="G498" s="616"/>
      <c r="H498" s="655"/>
    </row>
    <row r="499" spans="2:13" s="607" customFormat="1" ht="15.75" customHeight="1">
      <c r="B499" s="617" t="str">
        <f t="shared" si="8"/>
        <v>Average Luminance</v>
      </c>
      <c r="C499" s="601" t="s">
        <v>203</v>
      </c>
      <c r="D499" s="601" t="s">
        <v>1405</v>
      </c>
      <c r="E499" s="604" t="s">
        <v>973</v>
      </c>
      <c r="F499" s="661" t="s">
        <v>3225</v>
      </c>
      <c r="G499" s="616"/>
      <c r="H499" s="655"/>
    </row>
    <row r="500" spans="2:13" s="607" customFormat="1" ht="15.75" customHeight="1">
      <c r="B500" s="617" t="str">
        <f t="shared" si="8"/>
        <v>Min to Avg</v>
      </c>
      <c r="C500" s="601" t="s">
        <v>1320</v>
      </c>
      <c r="D500" s="601" t="s">
        <v>1449</v>
      </c>
      <c r="E500" s="601" t="s">
        <v>1481</v>
      </c>
      <c r="F500" s="662" t="s">
        <v>3226</v>
      </c>
      <c r="G500" s="616"/>
      <c r="H500" s="655"/>
    </row>
    <row r="501" spans="2:13" s="607" customFormat="1" ht="15.75" customHeight="1">
      <c r="B501" s="617" t="str">
        <f t="shared" si="8"/>
        <v>Min to Max</v>
      </c>
      <c r="C501" s="601" t="s">
        <v>1321</v>
      </c>
      <c r="D501" s="601" t="s">
        <v>1450</v>
      </c>
      <c r="E501" s="601" t="s">
        <v>1482</v>
      </c>
      <c r="F501" s="663" t="s">
        <v>3227</v>
      </c>
      <c r="G501" s="616"/>
      <c r="H501" s="655"/>
    </row>
    <row r="502" spans="2:13" s="607" customFormat="1" ht="15.75" customHeight="1">
      <c r="B502" s="617" t="str">
        <f t="shared" si="8"/>
        <v>Avg to Min</v>
      </c>
      <c r="C502" s="601" t="s">
        <v>1328</v>
      </c>
      <c r="D502" s="601" t="s">
        <v>1451</v>
      </c>
      <c r="E502" s="601" t="s">
        <v>1483</v>
      </c>
      <c r="F502" s="663" t="s">
        <v>3228</v>
      </c>
      <c r="G502" s="616"/>
      <c r="H502" s="655"/>
    </row>
    <row r="503" spans="2:13" s="607" customFormat="1" ht="15.75" customHeight="1">
      <c r="B503" s="617" t="str">
        <f t="shared" si="8"/>
        <v>Max to Min</v>
      </c>
      <c r="C503" s="601" t="s">
        <v>1329</v>
      </c>
      <c r="D503" s="601" t="s">
        <v>1452</v>
      </c>
      <c r="E503" s="601" t="s">
        <v>1484</v>
      </c>
      <c r="F503" s="663" t="s">
        <v>3229</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1330</v>
      </c>
      <c r="D504" s="601" t="s">
        <v>1657</v>
      </c>
      <c r="E504" s="601" t="s">
        <v>1485</v>
      </c>
      <c r="F504" s="661" t="s">
        <v>3230</v>
      </c>
      <c r="G504" s="616"/>
      <c r="H504" s="655"/>
      <c r="J504" s="607" t="s">
        <v>2732</v>
      </c>
    </row>
    <row r="505" spans="2:13" s="607" customFormat="1" ht="15.75" customHeight="1">
      <c r="B505" s="617" t="str">
        <f t="shared" si="8"/>
        <v>Optional Inputs</v>
      </c>
      <c r="C505" s="601" t="s">
        <v>1663</v>
      </c>
      <c r="D505" s="601" t="s">
        <v>1828</v>
      </c>
      <c r="E505" s="601" t="s">
        <v>1704</v>
      </c>
      <c r="F505" s="661" t="s">
        <v>3231</v>
      </c>
      <c r="G505" s="616"/>
      <c r="H505" s="655"/>
      <c r="J505" s="607" t="s">
        <v>2733</v>
      </c>
    </row>
    <row r="506" spans="2:13" s="607" customFormat="1" ht="15.75" customHeight="1">
      <c r="B506" s="617" t="str">
        <f t="shared" si="8"/>
        <v>If desired, enter the value for each fixture in the appropriate column. If you wish to use the default value, leave the column blank.</v>
      </c>
      <c r="C506" s="601" t="s">
        <v>1664</v>
      </c>
      <c r="D506" s="601" t="s">
        <v>1829</v>
      </c>
      <c r="E506" s="601" t="s">
        <v>1705</v>
      </c>
      <c r="F506" s="661" t="s">
        <v>3232</v>
      </c>
      <c r="G506" s="616"/>
      <c r="H506" s="655"/>
      <c r="J506" s="607" t="s">
        <v>2734</v>
      </c>
    </row>
    <row r="507" spans="2:13" s="607" customFormat="1" ht="15.75" customHeight="1">
      <c r="B507" s="617" t="str">
        <f t="shared" si="8"/>
        <v>Blue indicates values that are not default</v>
      </c>
      <c r="C507" s="601" t="s">
        <v>1668</v>
      </c>
      <c r="D507" s="601" t="s">
        <v>1830</v>
      </c>
      <c r="E507" s="601" t="s">
        <v>1706</v>
      </c>
      <c r="F507" s="661" t="s">
        <v>3233</v>
      </c>
      <c r="G507" s="616"/>
      <c r="H507" s="655"/>
    </row>
    <row r="508" spans="2:13" s="607" customFormat="1" ht="15.75" customHeight="1">
      <c r="B508" s="617" t="str">
        <f t="shared" si="8"/>
        <v>Return on Investment (after 'x' years)</v>
      </c>
      <c r="C508" s="601" t="s">
        <v>1670</v>
      </c>
      <c r="D508" s="601" t="s">
        <v>1831</v>
      </c>
      <c r="E508" s="601" t="s">
        <v>1707</v>
      </c>
      <c r="F508" s="661" t="s">
        <v>3234</v>
      </c>
      <c r="G508" s="616"/>
      <c r="H508" s="655"/>
      <c r="J508" s="607" t="s">
        <v>2735</v>
      </c>
      <c r="L508" s="607" t="s">
        <v>2736</v>
      </c>
      <c r="M508" s="607" t="s">
        <v>2737</v>
      </c>
    </row>
    <row r="509" spans="2:13" s="607" customFormat="1" ht="15.75" customHeight="1">
      <c r="B509" s="617" t="str">
        <f t="shared" si="8"/>
        <v>Upgrade is cheaper to install than baseline!</v>
      </c>
      <c r="C509" s="601" t="s">
        <v>1675</v>
      </c>
      <c r="D509" s="601" t="s">
        <v>1832</v>
      </c>
      <c r="E509" s="601" t="s">
        <v>1708</v>
      </c>
      <c r="F509" s="661" t="s">
        <v>3235</v>
      </c>
      <c r="G509" s="616"/>
      <c r="H509" s="655"/>
      <c r="J509" s="607" t="s">
        <v>2738</v>
      </c>
    </row>
    <row r="510" spans="2:13" s="607" customFormat="1" ht="15.75" customHeight="1">
      <c r="B510" s="617" t="str">
        <f t="shared" si="8"/>
        <v>Upgrade is more costly to operate!</v>
      </c>
      <c r="C510" s="601" t="s">
        <v>1676</v>
      </c>
      <c r="D510" s="601" t="s">
        <v>1833</v>
      </c>
      <c r="E510" s="601" t="s">
        <v>1709</v>
      </c>
      <c r="F510" s="661" t="s">
        <v>3236</v>
      </c>
      <c r="G510" s="616"/>
      <c r="H510" s="655"/>
      <c r="J510" s="607" t="s">
        <v>2738</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1681</v>
      </c>
      <c r="D511" s="601" t="s">
        <v>1834</v>
      </c>
      <c r="E511" s="601" t="s">
        <v>1710</v>
      </c>
      <c r="F511" s="661" t="s">
        <v>3237</v>
      </c>
      <c r="G511" s="616"/>
      <c r="H511" s="655"/>
      <c r="J511" s="607" t="s">
        <v>2739</v>
      </c>
    </row>
    <row r="512" spans="2:13" s="607" customFormat="1" ht="15.75" customHeight="1">
      <c r="B512" s="617" t="str">
        <f t="shared" si="8"/>
        <v>Required Inputs</v>
      </c>
      <c r="C512" s="601" t="s">
        <v>1687</v>
      </c>
      <c r="D512" s="601" t="s">
        <v>1835</v>
      </c>
      <c r="E512" s="602" t="s">
        <v>1711</v>
      </c>
      <c r="F512" s="661" t="s">
        <v>3238</v>
      </c>
      <c r="G512" s="616"/>
      <c r="H512" s="655"/>
      <c r="J512" s="607" t="s">
        <v>2740</v>
      </c>
    </row>
    <row r="513" spans="2:10" s="607" customFormat="1" ht="15.75" customHeight="1">
      <c r="B513" s="617" t="str">
        <f t="shared" si="8"/>
        <v>Step 1: Save the IES files you would like to upload to the tool into a folder on your hard drive</v>
      </c>
      <c r="C513" s="601" t="s">
        <v>1940</v>
      </c>
      <c r="D513" s="601" t="s">
        <v>1836</v>
      </c>
      <c r="E513" s="601" t="s">
        <v>1712</v>
      </c>
      <c r="F513" s="661" t="s">
        <v>3239</v>
      </c>
      <c r="G513" s="616"/>
      <c r="H513" s="655"/>
      <c r="J513" s="607" t="s">
        <v>2741</v>
      </c>
    </row>
    <row r="514" spans="2:10" s="607" customFormat="1" ht="15.75" customHeight="1">
      <c r="B514" s="617" t="str">
        <f t="shared" si="8"/>
        <v>Step 2: Select “Add files to list below”</v>
      </c>
      <c r="C514" s="601" t="s">
        <v>1941</v>
      </c>
      <c r="D514" s="601" t="s">
        <v>1837</v>
      </c>
      <c r="E514" s="601" t="s">
        <v>1713</v>
      </c>
      <c r="F514" s="661" t="s">
        <v>3240</v>
      </c>
      <c r="G514" s="616"/>
      <c r="H514" s="655"/>
      <c r="J514" s="607" t="s">
        <v>2742</v>
      </c>
    </row>
    <row r="515" spans="2:10" s="607" customFormat="1" ht="15.75" customHeight="1">
      <c r="B515" s="617" t="str">
        <f t="shared" si="8"/>
        <v>Step 3: Use the dialog box to find the folder where the files are saved on your hard drive. Select one of the files in the folder and click “Open”</v>
      </c>
      <c r="C515" s="601" t="s">
        <v>1688</v>
      </c>
      <c r="D515" s="601" t="s">
        <v>1838</v>
      </c>
      <c r="E515" s="601" t="s">
        <v>1714</v>
      </c>
      <c r="F515" s="661" t="s">
        <v>3241</v>
      </c>
      <c r="G515" s="616"/>
      <c r="H515" s="655"/>
      <c r="J515" s="607" t="s">
        <v>2743</v>
      </c>
    </row>
    <row r="516" spans="2:10" s="607" customFormat="1" ht="15.75" customHeight="1">
      <c r="B516" s="617" t="str">
        <f t="shared" si="8"/>
        <v>Step 4: Enter a name for the fixture that you can use to identify the fixture in the tool analysis (the default will be the file name)</v>
      </c>
      <c r="C516" s="601" t="s">
        <v>1689</v>
      </c>
      <c r="D516" s="601" t="s">
        <v>1839</v>
      </c>
      <c r="E516" s="601" t="s">
        <v>1715</v>
      </c>
      <c r="F516" s="661" t="s">
        <v>3242</v>
      </c>
      <c r="G516" s="616"/>
      <c r="H516" s="655"/>
      <c r="J516" s="607" t="s">
        <v>2744</v>
      </c>
    </row>
    <row r="517" spans="2:10" s="607" customFormat="1" ht="15.75" customHeight="1">
      <c r="B517" s="617" t="str">
        <f t="shared" si="8"/>
        <v>Step 5: Enter the Fixture Type (HPS, MH, or LED)</v>
      </c>
      <c r="C517" s="601" t="s">
        <v>1690</v>
      </c>
      <c r="D517" s="601" t="s">
        <v>1840</v>
      </c>
      <c r="E517" s="602" t="s">
        <v>1716</v>
      </c>
      <c r="F517" s="661" t="s">
        <v>3243</v>
      </c>
      <c r="G517" s="616"/>
      <c r="H517" s="655"/>
      <c r="J517" s="607" t="s">
        <v>2745</v>
      </c>
    </row>
    <row r="518" spans="2:10" s="607" customFormat="1" ht="15.75" customHeight="1">
      <c r="B518" s="617" t="str">
        <f t="shared" si="8"/>
        <v>Step 6: If desired, enter data for optional inputs found in columns D-K</v>
      </c>
      <c r="C518" s="601" t="s">
        <v>1693</v>
      </c>
      <c r="D518" s="601" t="s">
        <v>1841</v>
      </c>
      <c r="E518" s="601" t="s">
        <v>1717</v>
      </c>
      <c r="F518" s="661" t="s">
        <v>3244</v>
      </c>
      <c r="G518" s="616"/>
      <c r="H518" s="655"/>
      <c r="J518" s="607" t="s">
        <v>2746</v>
      </c>
    </row>
    <row r="519" spans="2:10" s="607" customFormat="1" ht="15.75" customHeight="1">
      <c r="B519" s="617" t="str">
        <f t="shared" si="8"/>
        <v>Step 7: Select "Begin upload of IES files listed below"</v>
      </c>
      <c r="C519" s="601" t="s">
        <v>1691</v>
      </c>
      <c r="D519" s="601" t="s">
        <v>1842</v>
      </c>
      <c r="E519" s="601" t="s">
        <v>1718</v>
      </c>
      <c r="F519" s="661" t="s">
        <v>3245</v>
      </c>
      <c r="G519" s="616"/>
      <c r="H519" s="655"/>
      <c r="J519" s="607" t="s">
        <v>2747</v>
      </c>
    </row>
    <row r="520" spans="2:10" s="607" customFormat="1" ht="15.75" customHeight="1">
      <c r="B520" s="617" t="str">
        <f t="shared" si="8"/>
        <v>Step 8: Return to “Fixtures” tab and select the fixtures that you want to include in this analysis</v>
      </c>
      <c r="C520" s="601" t="s">
        <v>1692</v>
      </c>
      <c r="D520" s="601" t="s">
        <v>1843</v>
      </c>
      <c r="E520" s="601" t="s">
        <v>1719</v>
      </c>
      <c r="F520" s="661" t="s">
        <v>3246</v>
      </c>
      <c r="G520" s="616"/>
      <c r="H520" s="655"/>
      <c r="J520" s="607" t="s">
        <v>2748</v>
      </c>
    </row>
    <row r="521" spans="2:10" s="607" customFormat="1" ht="15.75" customHeight="1">
      <c r="B521" s="617" t="str">
        <f t="shared" si="8"/>
        <v>Error! Check the value entered for 'pole configuration' and try again</v>
      </c>
      <c r="C521" s="601" t="s">
        <v>1698</v>
      </c>
      <c r="D521" s="601" t="s">
        <v>1844</v>
      </c>
      <c r="E521" s="601" t="s">
        <v>1720</v>
      </c>
      <c r="F521" s="661" t="s">
        <v>3247</v>
      </c>
      <c r="G521" s="616"/>
      <c r="H521" s="655"/>
      <c r="I521" s="607" t="s">
        <v>2749</v>
      </c>
    </row>
    <row r="522" spans="2:10" s="607" customFormat="1" ht="15.75" customHeight="1">
      <c r="B522" s="617" t="str">
        <f t="shared" si="8"/>
        <v>Calculations can be performed using assumptions from the CIE method, IES method or both. Would you like to view the grid spacing for the CIE or the IES method?</v>
      </c>
      <c r="C522" s="601" t="s">
        <v>1729</v>
      </c>
      <c r="D522" s="601" t="s">
        <v>1845</v>
      </c>
      <c r="E522" s="601" t="s">
        <v>1797</v>
      </c>
      <c r="F522" s="661" t="s">
        <v>3248</v>
      </c>
      <c r="G522" s="616"/>
      <c r="H522" s="655"/>
      <c r="I522" s="607" t="s">
        <v>2750</v>
      </c>
    </row>
    <row r="523" spans="2:10" s="607" customFormat="1" ht="15.75" customHeight="1">
      <c r="B523" s="617" t="str">
        <f t="shared" si="8"/>
        <v>Pavement Type (only required for luminance calculations)</v>
      </c>
      <c r="C523" s="601" t="s">
        <v>1730</v>
      </c>
      <c r="D523" s="601" t="s">
        <v>1846</v>
      </c>
      <c r="E523" s="601" t="s">
        <v>1798</v>
      </c>
      <c r="F523" s="661" t="s">
        <v>3249</v>
      </c>
      <c r="G523" s="616"/>
      <c r="H523" s="655"/>
      <c r="J523" s="607" t="s">
        <v>2751</v>
      </c>
    </row>
    <row r="524" spans="2:10" s="607" customFormat="1" ht="15.75" customHeight="1">
      <c r="B524" s="617" t="str">
        <f t="shared" si="8"/>
        <v>View your inputs:</v>
      </c>
      <c r="C524" s="601" t="s">
        <v>1731</v>
      </c>
      <c r="D524" s="601" t="s">
        <v>1847</v>
      </c>
      <c r="E524" s="601" t="s">
        <v>1799</v>
      </c>
      <c r="F524" s="663" t="s">
        <v>3250</v>
      </c>
      <c r="G524" s="616"/>
      <c r="H524" s="655"/>
      <c r="J524" s="607" t="s">
        <v>2752</v>
      </c>
    </row>
    <row r="525" spans="2:10" s="607" customFormat="1" ht="15.75" customHeight="1">
      <c r="B525" s="617" t="str">
        <f t="shared" si="8"/>
        <v>Previous</v>
      </c>
      <c r="C525" s="601" t="s">
        <v>1741</v>
      </c>
      <c r="D525" s="601" t="s">
        <v>1848</v>
      </c>
      <c r="E525" s="601" t="s">
        <v>1800</v>
      </c>
      <c r="F525" s="661" t="s">
        <v>3304</v>
      </c>
      <c r="G525" s="616"/>
      <c r="H525" s="655"/>
    </row>
    <row r="526" spans="2:10" s="607" customFormat="1" ht="15.75" customHeight="1">
      <c r="B526" s="617" t="str">
        <f t="shared" si="8"/>
        <v>Next</v>
      </c>
      <c r="C526" s="601" t="s">
        <v>492</v>
      </c>
      <c r="D526" s="601" t="s">
        <v>1849</v>
      </c>
      <c r="E526" s="601" t="s">
        <v>875</v>
      </c>
      <c r="F526" s="661" t="s">
        <v>3303</v>
      </c>
      <c r="G526" s="616"/>
      <c r="H526" s="655"/>
    </row>
    <row r="527" spans="2:10" s="607" customFormat="1" ht="15.75" customHeight="1">
      <c r="B527" s="617" t="str">
        <f t="shared" si="8"/>
        <v>All yellow fields can be edited with your specific input assumptions</v>
      </c>
      <c r="C527" s="601" t="s">
        <v>1747</v>
      </c>
      <c r="D527" s="601" t="s">
        <v>1850</v>
      </c>
      <c r="E527" s="601" t="s">
        <v>1801</v>
      </c>
      <c r="F527" s="661" t="s">
        <v>3251</v>
      </c>
      <c r="G527" s="616"/>
      <c r="H527" s="655" t="str">
        <f>IF(AND(I527="",J527=""),"Remove","Check")</f>
        <v>Remove</v>
      </c>
    </row>
    <row r="528" spans="2:10" s="607" customFormat="1" ht="15.75" customHeight="1">
      <c r="B528" s="617" t="str">
        <f t="shared" si="8"/>
        <v>IES Method</v>
      </c>
      <c r="C528" s="601" t="s">
        <v>1757</v>
      </c>
      <c r="D528" s="601" t="s">
        <v>1851</v>
      </c>
      <c r="E528" s="601" t="s">
        <v>1802</v>
      </c>
      <c r="F528" s="663" t="s">
        <v>3252</v>
      </c>
      <c r="G528" s="616"/>
      <c r="H528" s="655"/>
      <c r="J528" s="607" t="s">
        <v>2753</v>
      </c>
    </row>
    <row r="529" spans="2:10" s="607" customFormat="1" ht="15.75" customHeight="1">
      <c r="B529" s="617" t="str">
        <f t="shared" si="8"/>
        <v>CIE Method</v>
      </c>
      <c r="C529" s="601" t="s">
        <v>1758</v>
      </c>
      <c r="D529" s="601" t="s">
        <v>1852</v>
      </c>
      <c r="E529" s="601" t="s">
        <v>1803</v>
      </c>
      <c r="F529" s="663" t="s">
        <v>3253</v>
      </c>
      <c r="G529" s="616"/>
      <c r="H529" s="655"/>
      <c r="J529" s="607" t="s">
        <v>2754</v>
      </c>
    </row>
    <row r="530" spans="2:10" s="607" customFormat="1" ht="15.75" customHeight="1">
      <c r="B530" s="617" t="str">
        <f t="shared" si="8"/>
        <v>Only the first 125 selected fixtures are shown</v>
      </c>
      <c r="C530" s="603" t="s">
        <v>1775</v>
      </c>
      <c r="D530" s="601" t="s">
        <v>1853</v>
      </c>
      <c r="E530" s="601" t="s">
        <v>1804</v>
      </c>
      <c r="F530" s="661" t="s">
        <v>3254</v>
      </c>
      <c r="G530" s="616"/>
      <c r="H530" s="655"/>
      <c r="J530" s="607" t="s">
        <v>2755</v>
      </c>
    </row>
    <row r="531" spans="2:10" s="607" customFormat="1" ht="15.75" customHeight="1">
      <c r="B531" s="617" t="str">
        <f t="shared" si="8"/>
        <v>Road configuration is same between baseline and upgrade</v>
      </c>
      <c r="C531" s="601" t="s">
        <v>1770</v>
      </c>
      <c r="D531" s="601" t="s">
        <v>1854</v>
      </c>
      <c r="E531" s="601" t="s">
        <v>1805</v>
      </c>
      <c r="F531" s="661" t="s">
        <v>3255</v>
      </c>
      <c r="G531" s="616"/>
      <c r="H531" s="655"/>
      <c r="J531" s="607" t="s">
        <v>2756</v>
      </c>
    </row>
    <row r="532" spans="2:10" s="607" customFormat="1" ht="15.75" customHeight="1">
      <c r="B532" s="617" t="str">
        <f t="shared" si="8"/>
        <v>Baseline road configuration is different from the Upgrade configuration - is this intentional?</v>
      </c>
      <c r="C532" s="601" t="s">
        <v>1776</v>
      </c>
      <c r="D532" s="601" t="s">
        <v>1855</v>
      </c>
      <c r="E532" s="601" t="s">
        <v>1806</v>
      </c>
      <c r="F532" s="661" t="s">
        <v>3256</v>
      </c>
      <c r="G532" s="616"/>
      <c r="H532" s="655"/>
      <c r="J532" s="607" t="s">
        <v>2756</v>
      </c>
    </row>
    <row r="533" spans="2:10" s="607" customFormat="1" ht="15.75" customHeight="1">
      <c r="B533" s="617" t="str">
        <f t="shared" si="8"/>
        <v>The IES calculation method is selected</v>
      </c>
      <c r="C533" s="601" t="s">
        <v>1772</v>
      </c>
      <c r="D533" s="601" t="s">
        <v>1856</v>
      </c>
      <c r="E533" s="601" t="s">
        <v>1807</v>
      </c>
      <c r="F533" s="661" t="s">
        <v>3257</v>
      </c>
      <c r="G533" s="616"/>
      <c r="H533" s="655"/>
      <c r="J533" s="607" t="s">
        <v>2757</v>
      </c>
    </row>
    <row r="534" spans="2:10" s="607" customFormat="1" ht="15.75" customHeight="1">
      <c r="B534" s="617" t="str">
        <f t="shared" si="8"/>
        <v>The CIE calculation method is selected</v>
      </c>
      <c r="C534" s="601" t="s">
        <v>1777</v>
      </c>
      <c r="D534" s="601" t="s">
        <v>1857</v>
      </c>
      <c r="E534" s="601" t="s">
        <v>1808</v>
      </c>
      <c r="F534" s="661" t="s">
        <v>3258</v>
      </c>
      <c r="G534" s="616"/>
      <c r="H534" s="655"/>
      <c r="J534" s="607" t="s">
        <v>2757</v>
      </c>
    </row>
    <row r="535" spans="2:10" s="607" customFormat="1" ht="15.75" customHeight="1">
      <c r="B535" s="617" t="str">
        <f t="shared" si="8"/>
        <v>Both calculation methods are selected</v>
      </c>
      <c r="C535" s="601" t="s">
        <v>1778</v>
      </c>
      <c r="D535" s="601" t="s">
        <v>1858</v>
      </c>
      <c r="E535" s="601" t="s">
        <v>1809</v>
      </c>
      <c r="F535" s="661" t="s">
        <v>3259</v>
      </c>
      <c r="G535" s="616"/>
      <c r="H535" s="655"/>
      <c r="J535" s="607" t="s">
        <v>2757</v>
      </c>
    </row>
    <row r="536" spans="2:10" s="607" customFormat="1" ht="15.75" customHeight="1">
      <c r="B536" s="617" t="str">
        <f t="shared" si="8"/>
        <v>No calculation method is selected</v>
      </c>
      <c r="C536" s="601" t="s">
        <v>1796</v>
      </c>
      <c r="D536" s="601" t="s">
        <v>1859</v>
      </c>
      <c r="E536" s="601" t="s">
        <v>1810</v>
      </c>
      <c r="F536" s="661" t="s">
        <v>3260</v>
      </c>
      <c r="G536" s="616"/>
      <c r="H536" s="655"/>
      <c r="J536" s="607" t="s">
        <v>2757</v>
      </c>
    </row>
    <row r="537" spans="2:10" s="607" customFormat="1" ht="15.75" customHeight="1">
      <c r="B537" s="617" t="str">
        <f t="shared" si="8"/>
        <v>You have entered all lighting targets for the IES method</v>
      </c>
      <c r="C537" s="601" t="s">
        <v>1784</v>
      </c>
      <c r="D537" s="601" t="s">
        <v>1860</v>
      </c>
      <c r="E537" s="601" t="s">
        <v>1811</v>
      </c>
      <c r="F537" s="661" t="s">
        <v>3261</v>
      </c>
      <c r="G537" s="616"/>
      <c r="H537" s="655"/>
      <c r="J537" s="607" t="s">
        <v>2758</v>
      </c>
    </row>
    <row r="538" spans="2:10" s="607" customFormat="1" ht="15.75" customHeight="1">
      <c r="B538" s="617" t="str">
        <f t="shared" si="8"/>
        <v>You have NOT completed the lighting targets for the IES method</v>
      </c>
      <c r="C538" s="601" t="s">
        <v>1783</v>
      </c>
      <c r="D538" s="601" t="s">
        <v>1861</v>
      </c>
      <c r="E538" s="601" t="s">
        <v>1812</v>
      </c>
      <c r="F538" s="661" t="s">
        <v>3262</v>
      </c>
      <c r="G538" s="616"/>
      <c r="H538" s="655"/>
      <c r="J538" s="607" t="s">
        <v>2758</v>
      </c>
    </row>
    <row r="539" spans="2:10" s="607" customFormat="1" ht="15.75" customHeight="1">
      <c r="B539" s="617" t="str">
        <f t="shared" si="8"/>
        <v>You have entered all lighting targets for the CIE method</v>
      </c>
      <c r="C539" s="601" t="s">
        <v>1785</v>
      </c>
      <c r="D539" s="601" t="s">
        <v>1862</v>
      </c>
      <c r="E539" s="601" t="s">
        <v>1813</v>
      </c>
      <c r="F539" s="661" t="s">
        <v>3263</v>
      </c>
      <c r="G539" s="616"/>
      <c r="H539" s="655"/>
      <c r="J539" s="607" t="s">
        <v>2759</v>
      </c>
    </row>
    <row r="540" spans="2:10" s="607" customFormat="1" ht="15.75" customHeight="1">
      <c r="B540" s="617" t="str">
        <f t="shared" si="8"/>
        <v>You have NOT completed the lighting targets for the CIE method</v>
      </c>
      <c r="C540" s="601" t="s">
        <v>1782</v>
      </c>
      <c r="D540" s="601" t="s">
        <v>1863</v>
      </c>
      <c r="E540" s="601" t="s">
        <v>1814</v>
      </c>
      <c r="F540" s="661" t="s">
        <v>3264</v>
      </c>
      <c r="G540" s="616"/>
      <c r="H540" s="655"/>
      <c r="J540" s="607" t="s">
        <v>2759</v>
      </c>
    </row>
    <row r="541" spans="2:10" s="607" customFormat="1" ht="15.75" customHeight="1">
      <c r="B541" s="617" t="str">
        <f t="shared" si="8"/>
        <v>A baseline fixture is selected</v>
      </c>
      <c r="C541" s="601" t="s">
        <v>1773</v>
      </c>
      <c r="D541" s="601" t="s">
        <v>1864</v>
      </c>
      <c r="E541" s="601" t="s">
        <v>1815</v>
      </c>
      <c r="F541" s="661" t="s">
        <v>3265</v>
      </c>
      <c r="G541" s="616"/>
      <c r="H541" s="655"/>
      <c r="J541" s="607" t="s">
        <v>2760</v>
      </c>
    </row>
    <row r="542" spans="2:10" s="607" customFormat="1" ht="15.75" customHeight="1">
      <c r="B542" s="617" t="str">
        <f t="shared" si="8"/>
        <v>No baseline fixture is selected</v>
      </c>
      <c r="C542" s="601" t="s">
        <v>1779</v>
      </c>
      <c r="D542" s="601" t="s">
        <v>1865</v>
      </c>
      <c r="E542" s="601" t="s">
        <v>1816</v>
      </c>
      <c r="F542" s="661" t="s">
        <v>3266</v>
      </c>
      <c r="G542" s="616"/>
      <c r="H542" s="655"/>
      <c r="J542" s="607" t="s">
        <v>2760</v>
      </c>
    </row>
    <row r="543" spans="2:10" s="607" customFormat="1" ht="15.75" customHeight="1">
      <c r="B543" s="617" t="str">
        <f t="shared" si="8"/>
        <v xml:space="preserve"> upgrade fixtures are selected</v>
      </c>
      <c r="C543" s="601" t="s">
        <v>1786</v>
      </c>
      <c r="D543" s="601" t="s">
        <v>1967</v>
      </c>
      <c r="E543" s="601" t="s">
        <v>1968</v>
      </c>
      <c r="F543" s="663" t="s">
        <v>3267</v>
      </c>
      <c r="G543" s="616"/>
      <c r="H543" s="655"/>
      <c r="J543" s="607" t="s">
        <v>2761</v>
      </c>
    </row>
    <row r="544" spans="2:10" s="607" customFormat="1" ht="15.75" customHeight="1">
      <c r="B544" s="617" t="str">
        <f t="shared" si="8"/>
        <v>Review the inputs below to make sure you have entered all necessary values and the assumptions accurately reflect your road and fixtures.</v>
      </c>
      <c r="C544" s="601" t="s">
        <v>1769</v>
      </c>
      <c r="D544" s="601" t="s">
        <v>1866</v>
      </c>
      <c r="E544" s="601" t="s">
        <v>1817</v>
      </c>
      <c r="F544" s="662" t="s">
        <v>3268</v>
      </c>
      <c r="G544" s="616"/>
      <c r="H544" s="655"/>
      <c r="J544" s="607" t="s">
        <v>2762</v>
      </c>
    </row>
    <row r="545" spans="2:10" s="607" customFormat="1" ht="15.75" customHeight="1">
      <c r="B545" s="617" t="str">
        <f t="shared" si="8"/>
        <v>Quick check:</v>
      </c>
      <c r="C545" s="603" t="s">
        <v>1771</v>
      </c>
      <c r="D545" s="601" t="s">
        <v>1867</v>
      </c>
      <c r="E545" s="601" t="s">
        <v>1818</v>
      </c>
      <c r="F545" s="661" t="s">
        <v>3269</v>
      </c>
      <c r="G545" s="616"/>
      <c r="H545" s="655"/>
      <c r="J545" s="607" t="s">
        <v>2763</v>
      </c>
    </row>
    <row r="546" spans="2:10" s="607" customFormat="1" ht="15.75" customHeight="1">
      <c r="B546" s="617" t="str">
        <f t="shared" si="8"/>
        <v>Review All Inputs</v>
      </c>
      <c r="C546" s="603" t="s">
        <v>1774</v>
      </c>
      <c r="D546" s="601" t="s">
        <v>1868</v>
      </c>
      <c r="E546" s="601" t="s">
        <v>1819</v>
      </c>
      <c r="F546" s="661" t="s">
        <v>3270</v>
      </c>
      <c r="G546" s="616"/>
      <c r="H546" s="655"/>
      <c r="J546" s="607" t="s">
        <v>2764</v>
      </c>
    </row>
    <row r="547" spans="2:10" s="607" customFormat="1" ht="15.75" customHeight="1">
      <c r="B547" s="617" t="str">
        <f t="shared" si="8"/>
        <v>Currently selected fixtures:</v>
      </c>
      <c r="C547" s="603" t="s">
        <v>1745</v>
      </c>
      <c r="D547" s="601" t="s">
        <v>1869</v>
      </c>
      <c r="E547" s="601" t="s">
        <v>1820</v>
      </c>
      <c r="F547" s="661" t="s">
        <v>3271</v>
      </c>
      <c r="G547" s="616"/>
      <c r="H547" s="655"/>
      <c r="J547" s="607" t="s">
        <v>2765</v>
      </c>
    </row>
    <row r="548" spans="2:10" s="607" customFormat="1" ht="15.75" customHeight="1">
      <c r="B548" s="617" t="str">
        <f t="shared" si="8"/>
        <v>Select one of the fixtures from the list below. To edit the fixture assumptions, find the fixture in the table below</v>
      </c>
      <c r="C548" s="603" t="s">
        <v>1749</v>
      </c>
      <c r="D548" s="601" t="s">
        <v>1870</v>
      </c>
      <c r="E548" s="601" t="s">
        <v>1821</v>
      </c>
      <c r="F548" s="662" t="s">
        <v>3272</v>
      </c>
      <c r="G548" s="616"/>
      <c r="H548" s="655"/>
      <c r="J548" s="607" t="s">
        <v>2766</v>
      </c>
    </row>
    <row r="549" spans="2:10" s="607" customFormat="1" ht="15.75" customHeight="1">
      <c r="B549" s="617" t="str">
        <f t="shared" si="8"/>
        <v>Baseline Fixture Summary</v>
      </c>
      <c r="C549" s="603" t="s">
        <v>1748</v>
      </c>
      <c r="D549" s="601" t="s">
        <v>1871</v>
      </c>
      <c r="E549" s="601" t="s">
        <v>1822</v>
      </c>
      <c r="F549" s="661" t="s">
        <v>3273</v>
      </c>
      <c r="G549" s="616"/>
      <c r="H549" s="655"/>
    </row>
    <row r="550" spans="2:10" s="607" customFormat="1" ht="15.75" customHeight="1">
      <c r="B550" s="617" t="str">
        <f t="shared" si="8"/>
        <v>Describe Road</v>
      </c>
      <c r="C550" s="603" t="s">
        <v>1790</v>
      </c>
      <c r="D550" s="601" t="s">
        <v>1872</v>
      </c>
      <c r="E550" s="601" t="s">
        <v>1823</v>
      </c>
      <c r="F550" s="661" t="s">
        <v>3312</v>
      </c>
      <c r="G550" s="616"/>
      <c r="H550" s="655"/>
    </row>
    <row r="551" spans="2:10" s="607" customFormat="1" ht="15.75" customHeight="1">
      <c r="B551" s="617" t="str">
        <f t="shared" si="8"/>
        <v>Set Lighting Targets</v>
      </c>
      <c r="C551" s="603" t="s">
        <v>1791</v>
      </c>
      <c r="D551" s="601" t="s">
        <v>1873</v>
      </c>
      <c r="E551" s="601" t="s">
        <v>1824</v>
      </c>
      <c r="F551" s="661" t="s">
        <v>3305</v>
      </c>
      <c r="G551" s="616"/>
      <c r="H551" s="655"/>
    </row>
    <row r="552" spans="2:10" s="607" customFormat="1" ht="15.75" customHeight="1">
      <c r="B552" s="617" t="str">
        <f t="shared" si="8"/>
        <v>Choose Fixtures</v>
      </c>
      <c r="C552" s="603" t="s">
        <v>1792</v>
      </c>
      <c r="D552" s="601" t="s">
        <v>1874</v>
      </c>
      <c r="E552" s="601" t="s">
        <v>1825</v>
      </c>
      <c r="F552" s="661" t="s">
        <v>3311</v>
      </c>
      <c r="G552" s="616"/>
      <c r="H552" s="655"/>
    </row>
    <row r="553" spans="2:10" s="607" customFormat="1" ht="15.75" customHeight="1">
      <c r="B553" s="617" t="str">
        <f t="shared" si="8"/>
        <v>Identify Costs</v>
      </c>
      <c r="C553" s="603" t="s">
        <v>1793</v>
      </c>
      <c r="D553" s="601" t="s">
        <v>1875</v>
      </c>
      <c r="E553" s="601" t="s">
        <v>1826</v>
      </c>
      <c r="F553" s="661" t="s">
        <v>3310</v>
      </c>
      <c r="G553" s="616"/>
      <c r="H553" s="655"/>
    </row>
    <row r="554" spans="2:10" s="607" customFormat="1" ht="15.75" customHeight="1">
      <c r="B554" s="617" t="str">
        <f t="shared" si="8"/>
        <v>Confirm Inputs</v>
      </c>
      <c r="C554" s="603" t="s">
        <v>1768</v>
      </c>
      <c r="D554" s="601" t="s">
        <v>1876</v>
      </c>
      <c r="E554" s="601" t="s">
        <v>1827</v>
      </c>
      <c r="F554" s="661" t="s">
        <v>3274</v>
      </c>
      <c r="G554" s="616"/>
      <c r="H554" s="655"/>
      <c r="J554" s="607" t="s">
        <v>2767</v>
      </c>
    </row>
    <row r="555" spans="2:10" ht="15.75" customHeight="1">
      <c r="B555" s="617" t="str">
        <f t="shared" si="8"/>
        <v>Add a fixture</v>
      </c>
      <c r="C555" s="623" t="s">
        <v>1725</v>
      </c>
      <c r="D555" s="601" t="s">
        <v>1969</v>
      </c>
      <c r="E555" s="602" t="s">
        <v>1970</v>
      </c>
      <c r="F555" s="661" t="s">
        <v>3275</v>
      </c>
    </row>
    <row r="556" spans="2:10" ht="15.75" customHeight="1">
      <c r="B556" s="617" t="str">
        <f t="shared" si="8"/>
        <v>Delete a Fixture</v>
      </c>
      <c r="C556" s="601" t="s">
        <v>581</v>
      </c>
      <c r="D556" s="601" t="s">
        <v>833</v>
      </c>
      <c r="E556" s="601" t="s">
        <v>1602</v>
      </c>
      <c r="F556" s="662" t="s">
        <v>3276</v>
      </c>
    </row>
    <row r="557" spans="2:10" ht="15.75" customHeight="1">
      <c r="B557" s="617" t="str">
        <f t="shared" si="8"/>
        <v xml:space="preserve">Indicates the horizontal distance from the center of the pole mounting to the fixture centerline. This should include  half of the length of the fixture.
</v>
      </c>
      <c r="C557" s="605" t="s">
        <v>1662</v>
      </c>
      <c r="D557" s="611" t="s">
        <v>1041</v>
      </c>
      <c r="E557" s="606" t="s">
        <v>1623</v>
      </c>
      <c r="F557" s="662" t="s">
        <v>3277</v>
      </c>
      <c r="J557" s="610" t="s">
        <v>2768</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1750</v>
      </c>
      <c r="D558" s="612" t="s">
        <v>1742</v>
      </c>
      <c r="E558" s="606" t="s">
        <v>1743</v>
      </c>
      <c r="F558" s="662" t="s">
        <v>3278</v>
      </c>
      <c r="J558" s="610" t="s">
        <v>2769</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1728</v>
      </c>
      <c r="D559" s="606" t="s">
        <v>676</v>
      </c>
      <c r="E559" s="613" t="s">
        <v>1548</v>
      </c>
      <c r="F559" s="662" t="s">
        <v>3306</v>
      </c>
      <c r="J559" s="610" t="s">
        <v>1997</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1766</v>
      </c>
      <c r="D560" s="605" t="s">
        <v>1971</v>
      </c>
      <c r="E560" s="605" t="s">
        <v>1971</v>
      </c>
      <c r="F560" s="661" t="s">
        <v>3326</v>
      </c>
      <c r="J560" s="610" t="s">
        <v>1998</v>
      </c>
    </row>
    <row r="561" spans="2:9" ht="15.75" customHeight="1">
      <c r="B561" s="617" t="str">
        <f>INDEX(C561:G561,MATCH($B$11,$C$11:$G$11,0))</f>
        <v>You're missing an input on the Road Geometry tab. Please fix it and try again!</v>
      </c>
      <c r="C561" s="624" t="s">
        <v>1974</v>
      </c>
      <c r="D561" s="605" t="s">
        <v>1975</v>
      </c>
      <c r="E561" s="605" t="s">
        <v>1975</v>
      </c>
      <c r="F561" s="666" t="s">
        <v>3279</v>
      </c>
      <c r="I561" s="610" t="s">
        <v>1999</v>
      </c>
    </row>
    <row r="562" spans="2:9" ht="15.75" customHeight="1">
      <c r="B562" s="617" t="str">
        <f>INDEX(C562:G562,MATCH($B$11,$C$11:$G$11,0))</f>
        <v>Upload Complete</v>
      </c>
      <c r="C562" s="614" t="s">
        <v>1988</v>
      </c>
      <c r="D562" s="615" t="s">
        <v>1989</v>
      </c>
      <c r="E562" s="615" t="s">
        <v>1990</v>
      </c>
      <c r="F562" s="661" t="s">
        <v>3280</v>
      </c>
      <c r="I562" s="610" t="s">
        <v>2000</v>
      </c>
    </row>
    <row r="563" spans="2:9" ht="15.75" customHeight="1">
      <c r="B563" s="617" t="str">
        <f t="shared" ref="B563:B577" si="9">INDEX(C563:G563,MATCH($B$11,$C$11:$G$11,0))</f>
        <v>Update Baseline View</v>
      </c>
      <c r="C563" s="601" t="s">
        <v>1273</v>
      </c>
      <c r="D563" s="601" t="s">
        <v>1407</v>
      </c>
      <c r="E563" s="602" t="s">
        <v>1556</v>
      </c>
      <c r="F563" s="662" t="s">
        <v>3281</v>
      </c>
    </row>
    <row r="564" spans="2:9" ht="15.75" customHeight="1">
      <c r="B564" s="617" t="str">
        <f t="shared" si="9"/>
        <v>Update Upgrade View</v>
      </c>
      <c r="C564" s="601" t="s">
        <v>1274</v>
      </c>
      <c r="D564" s="601" t="s">
        <v>1408</v>
      </c>
      <c r="E564" s="602" t="s">
        <v>1557</v>
      </c>
      <c r="F564" s="663" t="s">
        <v>3307</v>
      </c>
    </row>
    <row r="565" spans="2:9" ht="15.75" customHeight="1">
      <c r="B565" s="617" t="str">
        <f t="shared" si="9"/>
        <v xml:space="preserve">Calculate Scenario Results </v>
      </c>
      <c r="C565" s="601" t="s">
        <v>1148</v>
      </c>
      <c r="D565" s="601" t="s">
        <v>1220</v>
      </c>
      <c r="E565" s="601" t="s">
        <v>1244</v>
      </c>
      <c r="F565" s="661" t="s">
        <v>3282</v>
      </c>
    </row>
    <row r="566" spans="2:9" ht="15.75" customHeight="1">
      <c r="B566" s="617" t="str">
        <f>INDEX(C566:G566,MATCH($B$11,$C$11:$G$11,0))</f>
        <v>General Costs</v>
      </c>
      <c r="C566" s="605" t="s">
        <v>86</v>
      </c>
      <c r="D566" s="605" t="s">
        <v>1971</v>
      </c>
      <c r="E566" s="605" t="s">
        <v>1971</v>
      </c>
      <c r="F566" s="661" t="s">
        <v>3283</v>
      </c>
    </row>
    <row r="567" spans="2:9" ht="15.75" customHeight="1">
      <c r="B567" s="617" t="str">
        <f t="shared" si="9"/>
        <v>Fixture Costs</v>
      </c>
      <c r="C567" s="605" t="s">
        <v>1765</v>
      </c>
      <c r="D567" s="605" t="s">
        <v>1971</v>
      </c>
      <c r="E567" s="605" t="s">
        <v>1971</v>
      </c>
      <c r="F567" s="661" t="s">
        <v>3284</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1767</v>
      </c>
      <c r="D568" s="605" t="s">
        <v>1971</v>
      </c>
      <c r="E568" s="605" t="s">
        <v>1971</v>
      </c>
      <c r="F568" s="661" t="s">
        <v>3285</v>
      </c>
    </row>
    <row r="569" spans="2:9" ht="15.75" customHeight="1">
      <c r="B569" s="617" t="str">
        <f t="shared" si="9"/>
        <v>1) Add files to list below</v>
      </c>
      <c r="C569" s="601" t="s">
        <v>1751</v>
      </c>
      <c r="D569" s="601" t="s">
        <v>1752</v>
      </c>
      <c r="E569" s="601" t="s">
        <v>1753</v>
      </c>
      <c r="F569" s="661" t="s">
        <v>3286</v>
      </c>
    </row>
    <row r="570" spans="2:9" ht="15.75" customHeight="1">
      <c r="B570" s="617" t="str">
        <f t="shared" si="9"/>
        <v>2) Begin upload of IES files listed below</v>
      </c>
      <c r="C570" s="601" t="s">
        <v>1756</v>
      </c>
      <c r="D570" s="601" t="s">
        <v>1754</v>
      </c>
      <c r="E570" s="601" t="s">
        <v>1755</v>
      </c>
      <c r="F570" s="661" t="s">
        <v>3287</v>
      </c>
    </row>
    <row r="571" spans="2:9" ht="15.75" customHeight="1">
      <c r="B571" s="617" t="str">
        <f t="shared" si="9"/>
        <v>Error log</v>
      </c>
      <c r="C571" s="601" t="s">
        <v>1048</v>
      </c>
      <c r="D571" s="605" t="s">
        <v>1971</v>
      </c>
      <c r="E571" s="605" t="s">
        <v>1971</v>
      </c>
      <c r="F571" s="661" t="s">
        <v>3288</v>
      </c>
    </row>
    <row r="572" spans="2:9" ht="15.75" customHeight="1">
      <c r="B572" s="617" t="str">
        <f t="shared" si="9"/>
        <v>Do you want to delete the data on the Results page?</v>
      </c>
      <c r="C572" s="601" t="s">
        <v>511</v>
      </c>
      <c r="D572" s="601" t="s">
        <v>828</v>
      </c>
      <c r="E572" s="602" t="s">
        <v>1001</v>
      </c>
      <c r="F572" s="662" t="s">
        <v>3289</v>
      </c>
    </row>
    <row r="573" spans="2:9" ht="15.75" customHeight="1">
      <c r="B573" s="617" t="str">
        <f t="shared" si="9"/>
        <v>Delete Results?</v>
      </c>
      <c r="C573" s="601" t="s">
        <v>512</v>
      </c>
      <c r="D573" s="601" t="s">
        <v>829</v>
      </c>
      <c r="E573" s="602" t="s">
        <v>1600</v>
      </c>
      <c r="F573" s="662" t="s">
        <v>3290</v>
      </c>
    </row>
    <row r="574" spans="2:9" ht="15.75" customHeight="1">
      <c r="B574" s="617" t="str">
        <f t="shared" si="9"/>
        <v>Status...</v>
      </c>
      <c r="C574" s="615" t="s">
        <v>2785</v>
      </c>
      <c r="D574" s="615" t="s">
        <v>2787</v>
      </c>
      <c r="E574" s="615" t="s">
        <v>2788</v>
      </c>
      <c r="F574" s="615" t="s">
        <v>3291</v>
      </c>
    </row>
    <row r="575" spans="2:9" ht="15.75" customHeight="1">
      <c r="B575" s="617" t="str">
        <f t="shared" si="9"/>
        <v>Performing calculations, please wait...</v>
      </c>
      <c r="C575" s="615" t="s">
        <v>2784</v>
      </c>
      <c r="D575" s="615" t="s">
        <v>2790</v>
      </c>
      <c r="E575" s="615" t="s">
        <v>2789</v>
      </c>
      <c r="F575" s="615" t="s">
        <v>3292</v>
      </c>
    </row>
    <row r="576" spans="2:9" ht="15.75" customHeight="1">
      <c r="B576" s="617" t="str">
        <f t="shared" si="9"/>
        <v>Uploading fixtures, please wait…</v>
      </c>
      <c r="C576" s="615" t="s">
        <v>2786</v>
      </c>
      <c r="D576" s="615" t="s">
        <v>2792</v>
      </c>
      <c r="E576" s="615" t="s">
        <v>2791</v>
      </c>
      <c r="F576" s="615" t="s">
        <v>3293</v>
      </c>
    </row>
    <row r="577" spans="2:6" ht="15.75" customHeight="1">
      <c r="B577" s="617" t="str">
        <f t="shared" si="9"/>
        <v>The annual increase in nominal price of electricity.</v>
      </c>
      <c r="C577" s="615" t="s">
        <v>3332</v>
      </c>
      <c r="D577" s="692" t="s">
        <v>3334</v>
      </c>
      <c r="E577" s="692" t="s">
        <v>3335</v>
      </c>
      <c r="F577" s="692" t="s">
        <v>3333</v>
      </c>
    </row>
  </sheetData>
  <dataConsolidate/>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6"/>
  <sheetViews>
    <sheetView showGridLines="0" topLeftCell="A130" workbookViewId="0">
      <selection activeCell="B144" sqref="B144"/>
    </sheetView>
  </sheetViews>
  <sheetFormatPr defaultRowHeight="15"/>
  <cols>
    <col min="1" max="1" width="15.42578125" customWidth="1"/>
    <col min="2" max="2" width="25" customWidth="1"/>
    <col min="3" max="3" width="10.7109375" bestFit="1" customWidth="1"/>
    <col min="8" max="8" width="9.140625" style="119"/>
  </cols>
  <sheetData>
    <row r="1" spans="1:9">
      <c r="I1" s="2" t="s">
        <v>532</v>
      </c>
    </row>
    <row r="2" spans="1:9">
      <c r="B2" s="31" t="s">
        <v>299</v>
      </c>
      <c r="C2" s="31" t="s">
        <v>3300</v>
      </c>
      <c r="I2" s="34" t="s">
        <v>119</v>
      </c>
    </row>
    <row r="3" spans="1:9">
      <c r="B3" s="31" t="s">
        <v>301</v>
      </c>
      <c r="C3" s="258">
        <v>41969</v>
      </c>
      <c r="I3" t="s">
        <v>120</v>
      </c>
    </row>
    <row r="4" spans="1:9">
      <c r="B4" s="31" t="s">
        <v>300</v>
      </c>
      <c r="C4" s="258">
        <v>42019</v>
      </c>
      <c r="I4" t="s">
        <v>121</v>
      </c>
    </row>
    <row r="5" spans="1:9">
      <c r="C5" s="109"/>
      <c r="I5" t="s">
        <v>122</v>
      </c>
    </row>
    <row r="7" spans="1:9">
      <c r="I7" t="s">
        <v>1699</v>
      </c>
    </row>
    <row r="12" spans="1:9">
      <c r="A12" s="108" t="s">
        <v>298</v>
      </c>
      <c r="B12" t="s">
        <v>193</v>
      </c>
    </row>
    <row r="13" spans="1:9">
      <c r="A13" t="s">
        <v>279</v>
      </c>
      <c r="B13" t="s">
        <v>280</v>
      </c>
    </row>
    <row r="14" spans="1:9">
      <c r="A14" t="s">
        <v>281</v>
      </c>
      <c r="B14" t="s">
        <v>282</v>
      </c>
    </row>
    <row r="15" spans="1:9">
      <c r="A15" t="s">
        <v>284</v>
      </c>
      <c r="B15" t="s">
        <v>285</v>
      </c>
    </row>
    <row r="16" spans="1:9">
      <c r="B16" t="s">
        <v>289</v>
      </c>
    </row>
    <row r="17" spans="1:2">
      <c r="B17" t="s">
        <v>290</v>
      </c>
    </row>
    <row r="18" spans="1:2">
      <c r="B18" t="s">
        <v>291</v>
      </c>
    </row>
    <row r="19" spans="1:2">
      <c r="B19" t="s">
        <v>292</v>
      </c>
    </row>
    <row r="20" spans="1:2">
      <c r="B20" t="s">
        <v>293</v>
      </c>
    </row>
    <row r="21" spans="1:2">
      <c r="A21" t="s">
        <v>294</v>
      </c>
      <c r="B21" t="s">
        <v>297</v>
      </c>
    </row>
    <row r="22" spans="1:2">
      <c r="B22" t="s">
        <v>302</v>
      </c>
    </row>
    <row r="23" spans="1:2">
      <c r="B23" t="s">
        <v>313</v>
      </c>
    </row>
    <row r="24" spans="1:2">
      <c r="B24" t="s">
        <v>314</v>
      </c>
    </row>
    <row r="25" spans="1:2">
      <c r="B25" t="s">
        <v>329</v>
      </c>
    </row>
    <row r="26" spans="1:2">
      <c r="B26" t="s">
        <v>330</v>
      </c>
    </row>
    <row r="27" spans="1:2">
      <c r="A27" t="s">
        <v>378</v>
      </c>
      <c r="B27" t="s">
        <v>379</v>
      </c>
    </row>
    <row r="28" spans="1:2">
      <c r="A28" t="s">
        <v>380</v>
      </c>
      <c r="B28" t="s">
        <v>381</v>
      </c>
    </row>
    <row r="29" spans="1:2">
      <c r="A29" t="s">
        <v>526</v>
      </c>
      <c r="B29" t="s">
        <v>527</v>
      </c>
    </row>
    <row r="30" spans="1:2">
      <c r="B30" t="s">
        <v>528</v>
      </c>
    </row>
    <row r="31" spans="1:2">
      <c r="A31" s="34" t="s">
        <v>531</v>
      </c>
      <c r="B31" t="s">
        <v>530</v>
      </c>
    </row>
    <row r="32" spans="1:2">
      <c r="A32" t="s">
        <v>533</v>
      </c>
      <c r="B32" t="s">
        <v>534</v>
      </c>
    </row>
    <row r="33" spans="1:2">
      <c r="B33" t="s">
        <v>535</v>
      </c>
    </row>
    <row r="34" spans="1:2">
      <c r="B34" t="s">
        <v>536</v>
      </c>
    </row>
    <row r="35" spans="1:2">
      <c r="A35" t="s">
        <v>544</v>
      </c>
      <c r="B35" t="s">
        <v>545</v>
      </c>
    </row>
    <row r="36" spans="1:2">
      <c r="B36" t="s">
        <v>546</v>
      </c>
    </row>
    <row r="37" spans="1:2">
      <c r="A37" t="s">
        <v>583</v>
      </c>
      <c r="B37" t="s">
        <v>584</v>
      </c>
    </row>
    <row r="38" spans="1:2">
      <c r="B38" t="s">
        <v>585</v>
      </c>
    </row>
    <row r="39" spans="1:2">
      <c r="B39" t="s">
        <v>586</v>
      </c>
    </row>
    <row r="40" spans="1:2">
      <c r="B40" t="s">
        <v>587</v>
      </c>
    </row>
    <row r="41" spans="1:2">
      <c r="B41" t="s">
        <v>588</v>
      </c>
    </row>
    <row r="42" spans="1:2">
      <c r="A42" t="s">
        <v>593</v>
      </c>
      <c r="B42" s="270" t="s">
        <v>589</v>
      </c>
    </row>
    <row r="43" spans="1:2">
      <c r="B43" t="s">
        <v>590</v>
      </c>
    </row>
    <row r="44" spans="1:2">
      <c r="B44" t="s">
        <v>591</v>
      </c>
    </row>
    <row r="45" spans="1:2">
      <c r="B45" t="s">
        <v>592</v>
      </c>
    </row>
    <row r="46" spans="1:2">
      <c r="B46" t="s">
        <v>594</v>
      </c>
    </row>
    <row r="47" spans="1:2">
      <c r="B47" t="s">
        <v>595</v>
      </c>
    </row>
    <row r="48" spans="1:2">
      <c r="A48" t="s">
        <v>837</v>
      </c>
      <c r="B48" t="s">
        <v>838</v>
      </c>
    </row>
    <row r="49" spans="1:2">
      <c r="B49" t="s">
        <v>839</v>
      </c>
    </row>
    <row r="50" spans="1:2">
      <c r="B50" t="s">
        <v>1044</v>
      </c>
    </row>
    <row r="51" spans="1:2">
      <c r="A51" t="s">
        <v>1045</v>
      </c>
      <c r="B51" t="s">
        <v>1046</v>
      </c>
    </row>
    <row r="52" spans="1:2">
      <c r="A52" t="s">
        <v>1055</v>
      </c>
      <c r="B52" t="s">
        <v>1056</v>
      </c>
    </row>
    <row r="53" spans="1:2">
      <c r="B53" t="s">
        <v>1057</v>
      </c>
    </row>
    <row r="54" spans="1:2">
      <c r="B54" t="s">
        <v>1062</v>
      </c>
    </row>
    <row r="55" spans="1:2">
      <c r="B55" t="s">
        <v>1063</v>
      </c>
    </row>
    <row r="57" spans="1:2">
      <c r="A57" t="s">
        <v>1086</v>
      </c>
      <c r="B57" t="s">
        <v>1087</v>
      </c>
    </row>
    <row r="58" spans="1:2">
      <c r="B58" s="34" t="s">
        <v>1088</v>
      </c>
    </row>
    <row r="59" spans="1:2">
      <c r="A59" t="s">
        <v>1089</v>
      </c>
      <c r="B59" t="s">
        <v>1090</v>
      </c>
    </row>
    <row r="60" spans="1:2">
      <c r="B60" t="s">
        <v>1091</v>
      </c>
    </row>
    <row r="61" spans="1:2">
      <c r="B61" t="s">
        <v>1092</v>
      </c>
    </row>
    <row r="62" spans="1:2">
      <c r="B62" t="s">
        <v>1093</v>
      </c>
    </row>
    <row r="63" spans="1:2">
      <c r="A63" t="s">
        <v>1095</v>
      </c>
      <c r="B63" t="s">
        <v>1096</v>
      </c>
    </row>
    <row r="64" spans="1:2">
      <c r="A64" t="s">
        <v>1117</v>
      </c>
      <c r="B64" t="s">
        <v>1118</v>
      </c>
    </row>
    <row r="65" spans="1:2">
      <c r="B65" t="s">
        <v>1119</v>
      </c>
    </row>
    <row r="66" spans="1:2">
      <c r="A66" t="s">
        <v>1120</v>
      </c>
      <c r="B66" t="s">
        <v>1121</v>
      </c>
    </row>
    <row r="67" spans="1:2">
      <c r="B67" t="s">
        <v>1122</v>
      </c>
    </row>
    <row r="68" spans="1:2">
      <c r="B68" s="42" t="s">
        <v>1123</v>
      </c>
    </row>
    <row r="69" spans="1:2">
      <c r="A69" t="s">
        <v>1130</v>
      </c>
      <c r="B69" t="s">
        <v>1131</v>
      </c>
    </row>
    <row r="70" spans="1:2">
      <c r="B70" t="s">
        <v>1132</v>
      </c>
    </row>
    <row r="71" spans="1:2">
      <c r="A71" t="s">
        <v>1135</v>
      </c>
      <c r="B71" t="s">
        <v>1136</v>
      </c>
    </row>
    <row r="72" spans="1:2">
      <c r="A72" t="s">
        <v>1137</v>
      </c>
      <c r="B72" t="s">
        <v>1138</v>
      </c>
    </row>
    <row r="73" spans="1:2">
      <c r="B73" t="s">
        <v>1139</v>
      </c>
    </row>
    <row r="74" spans="1:2">
      <c r="B74" t="s">
        <v>1140</v>
      </c>
    </row>
    <row r="75" spans="1:2">
      <c r="B75" t="s">
        <v>1150</v>
      </c>
    </row>
    <row r="76" spans="1:2">
      <c r="B76" t="s">
        <v>1151</v>
      </c>
    </row>
    <row r="77" spans="1:2">
      <c r="A77" t="s">
        <v>1172</v>
      </c>
      <c r="B77" t="s">
        <v>1173</v>
      </c>
    </row>
    <row r="78" spans="1:2">
      <c r="B78" t="s">
        <v>1174</v>
      </c>
    </row>
    <row r="79" spans="1:2" ht="13.5" customHeight="1">
      <c r="B79" t="s">
        <v>1175</v>
      </c>
    </row>
    <row r="80" spans="1:2">
      <c r="B80" t="s">
        <v>1176</v>
      </c>
    </row>
    <row r="81" spans="1:2">
      <c r="B81" t="s">
        <v>1186</v>
      </c>
    </row>
    <row r="82" spans="1:2">
      <c r="B82" t="s">
        <v>1187</v>
      </c>
    </row>
    <row r="83" spans="1:2">
      <c r="A83" t="s">
        <v>1189</v>
      </c>
      <c r="B83" t="s">
        <v>1190</v>
      </c>
    </row>
    <row r="84" spans="1:2">
      <c r="B84" t="s">
        <v>1195</v>
      </c>
    </row>
    <row r="85" spans="1:2">
      <c r="A85" t="s">
        <v>1198</v>
      </c>
      <c r="B85" t="s">
        <v>1199</v>
      </c>
    </row>
    <row r="86" spans="1:2">
      <c r="B86" t="s">
        <v>1200</v>
      </c>
    </row>
    <row r="87" spans="1:2">
      <c r="A87" t="s">
        <v>1201</v>
      </c>
      <c r="B87" t="s">
        <v>1202</v>
      </c>
    </row>
    <row r="88" spans="1:2">
      <c r="A88" t="s">
        <v>1203</v>
      </c>
      <c r="B88" t="s">
        <v>1205</v>
      </c>
    </row>
    <row r="89" spans="1:2">
      <c r="A89" t="s">
        <v>1204</v>
      </c>
      <c r="B89" t="s">
        <v>1206</v>
      </c>
    </row>
    <row r="90" spans="1:2">
      <c r="A90" t="s">
        <v>1208</v>
      </c>
      <c r="B90" t="s">
        <v>1212</v>
      </c>
    </row>
    <row r="91" spans="1:2">
      <c r="A91" t="s">
        <v>1211</v>
      </c>
      <c r="B91" t="s">
        <v>1213</v>
      </c>
    </row>
    <row r="92" spans="1:2">
      <c r="A92" t="s">
        <v>1214</v>
      </c>
      <c r="B92" t="s">
        <v>1215</v>
      </c>
    </row>
    <row r="93" spans="1:2">
      <c r="A93" t="s">
        <v>1216</v>
      </c>
      <c r="B93" t="s">
        <v>1217</v>
      </c>
    </row>
    <row r="94" spans="1:2">
      <c r="A94" t="s">
        <v>1218</v>
      </c>
      <c r="B94" t="s">
        <v>1219</v>
      </c>
    </row>
    <row r="95" spans="1:2">
      <c r="A95" s="120">
        <v>1.3</v>
      </c>
      <c r="B95" t="s">
        <v>1248</v>
      </c>
    </row>
    <row r="96" spans="1:2">
      <c r="A96" t="s">
        <v>1275</v>
      </c>
      <c r="B96" t="s">
        <v>1272</v>
      </c>
    </row>
    <row r="97" spans="1:2">
      <c r="A97" t="s">
        <v>1303</v>
      </c>
      <c r="B97" t="s">
        <v>1304</v>
      </c>
    </row>
    <row r="98" spans="1:2">
      <c r="A98" t="s">
        <v>1331</v>
      </c>
      <c r="B98" t="s">
        <v>1345</v>
      </c>
    </row>
    <row r="99" spans="1:2">
      <c r="A99" t="s">
        <v>1332</v>
      </c>
      <c r="B99" t="s">
        <v>1333</v>
      </c>
    </row>
    <row r="100" spans="1:2">
      <c r="A100" t="s">
        <v>1344</v>
      </c>
      <c r="B100" t="s">
        <v>1346</v>
      </c>
    </row>
    <row r="101" spans="1:2">
      <c r="A101" t="s">
        <v>1347</v>
      </c>
      <c r="B101" t="s">
        <v>1348</v>
      </c>
    </row>
    <row r="102" spans="1:2">
      <c r="A102" s="481" t="s">
        <v>1658</v>
      </c>
      <c r="B102" s="481" t="s">
        <v>1659</v>
      </c>
    </row>
    <row r="103" spans="1:2">
      <c r="A103" s="481"/>
      <c r="B103" s="481" t="s">
        <v>1660</v>
      </c>
    </row>
    <row r="104" spans="1:2">
      <c r="A104" t="s">
        <v>1677</v>
      </c>
      <c r="B104" t="s">
        <v>1678</v>
      </c>
    </row>
    <row r="105" spans="1:2">
      <c r="A105" t="s">
        <v>1679</v>
      </c>
      <c r="B105" t="s">
        <v>1680</v>
      </c>
    </row>
    <row r="106" spans="1:2">
      <c r="A106" t="s">
        <v>1685</v>
      </c>
      <c r="B106" t="s">
        <v>1686</v>
      </c>
    </row>
    <row r="107" spans="1:2">
      <c r="A107" t="s">
        <v>1694</v>
      </c>
      <c r="B107" t="s">
        <v>1695</v>
      </c>
    </row>
    <row r="108" spans="1:2">
      <c r="A108" t="s">
        <v>1700</v>
      </c>
      <c r="B108" t="s">
        <v>1701</v>
      </c>
    </row>
    <row r="109" spans="1:2">
      <c r="B109" t="s">
        <v>1702</v>
      </c>
    </row>
    <row r="110" spans="1:2">
      <c r="B110" t="s">
        <v>1703</v>
      </c>
    </row>
    <row r="111" spans="1:2">
      <c r="A111" t="s">
        <v>1722</v>
      </c>
      <c r="B111" t="s">
        <v>1723</v>
      </c>
    </row>
    <row r="112" spans="1:2">
      <c r="B112" t="s">
        <v>1724</v>
      </c>
    </row>
    <row r="113" spans="1:2">
      <c r="A113" t="s">
        <v>1794</v>
      </c>
      <c r="B113" t="s">
        <v>1795</v>
      </c>
    </row>
    <row r="114" spans="1:2">
      <c r="A114" t="s">
        <v>1959</v>
      </c>
      <c r="B114" t="s">
        <v>1960</v>
      </c>
    </row>
    <row r="115" spans="1:2">
      <c r="B115" t="s">
        <v>1961</v>
      </c>
    </row>
    <row r="116" spans="1:2">
      <c r="B116" t="s">
        <v>1962</v>
      </c>
    </row>
    <row r="117" spans="1:2">
      <c r="A117" t="s">
        <v>1963</v>
      </c>
      <c r="B117" t="s">
        <v>1964</v>
      </c>
    </row>
    <row r="118" spans="1:2">
      <c r="A118" t="s">
        <v>1972</v>
      </c>
      <c r="B118" t="s">
        <v>1973</v>
      </c>
    </row>
    <row r="119" spans="1:2">
      <c r="A119" t="s">
        <v>1976</v>
      </c>
      <c r="B119" t="s">
        <v>1977</v>
      </c>
    </row>
    <row r="120" spans="1:2">
      <c r="B120" t="s">
        <v>1978</v>
      </c>
    </row>
    <row r="121" spans="1:2">
      <c r="B121" t="s">
        <v>1981</v>
      </c>
    </row>
    <row r="122" spans="1:2">
      <c r="B122" t="s">
        <v>1982</v>
      </c>
    </row>
    <row r="123" spans="1:2">
      <c r="B123" t="s">
        <v>1987</v>
      </c>
    </row>
    <row r="124" spans="1:2">
      <c r="B124" t="s">
        <v>1991</v>
      </c>
    </row>
    <row r="125" spans="1:2">
      <c r="B125" t="s">
        <v>1992</v>
      </c>
    </row>
    <row r="126" spans="1:2">
      <c r="A126" t="s">
        <v>1993</v>
      </c>
      <c r="B126" t="s">
        <v>1994</v>
      </c>
    </row>
    <row r="127" spans="1:2">
      <c r="B127" t="s">
        <v>1996</v>
      </c>
    </row>
    <row r="129" spans="1:2">
      <c r="B129" t="s">
        <v>1979</v>
      </c>
    </row>
    <row r="130" spans="1:2">
      <c r="B130" t="s">
        <v>1980</v>
      </c>
    </row>
    <row r="131" spans="1:2">
      <c r="A131" t="s">
        <v>2773</v>
      </c>
      <c r="B131" t="s">
        <v>2774</v>
      </c>
    </row>
    <row r="132" spans="1:2">
      <c r="A132" t="s">
        <v>2775</v>
      </c>
      <c r="B132" t="s">
        <v>2776</v>
      </c>
    </row>
    <row r="133" spans="1:2">
      <c r="A133" t="s">
        <v>2777</v>
      </c>
      <c r="B133" t="s">
        <v>2779</v>
      </c>
    </row>
    <row r="134" spans="1:2">
      <c r="B134" t="s">
        <v>1079</v>
      </c>
    </row>
    <row r="135" spans="1:2">
      <c r="B135" t="s">
        <v>2780</v>
      </c>
    </row>
    <row r="136" spans="1:2">
      <c r="B136" t="s">
        <v>2781</v>
      </c>
    </row>
    <row r="137" spans="1:2">
      <c r="A137" t="s">
        <v>2782</v>
      </c>
      <c r="B137" t="s">
        <v>2783</v>
      </c>
    </row>
    <row r="138" spans="1:2">
      <c r="B138" t="s">
        <v>2793</v>
      </c>
    </row>
    <row r="139" spans="1:2">
      <c r="B139" t="s">
        <v>2794</v>
      </c>
    </row>
    <row r="140" spans="1:2">
      <c r="B140" t="s">
        <v>2795</v>
      </c>
    </row>
    <row r="141" spans="1:2">
      <c r="A141" t="s">
        <v>3298</v>
      </c>
      <c r="B141" t="s">
        <v>3299</v>
      </c>
    </row>
    <row r="142" spans="1:2">
      <c r="A142" t="s">
        <v>3300</v>
      </c>
      <c r="B142" t="s">
        <v>3301</v>
      </c>
    </row>
    <row r="143" spans="1:2">
      <c r="A143" s="481" t="s">
        <v>3336</v>
      </c>
      <c r="B143" s="481" t="s">
        <v>3337</v>
      </c>
    </row>
    <row r="144" spans="1:2">
      <c r="B144" s="481" t="s">
        <v>3338</v>
      </c>
    </row>
    <row r="145" spans="2:2">
      <c r="B145" s="481" t="s">
        <v>3339</v>
      </c>
    </row>
    <row r="146" spans="2:2">
      <c r="B146" t="s">
        <v>3340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3345</v>
      </c>
      <c r="D4" s="404" t="s">
        <v>66</v>
      </c>
      <c r="E4" s="414">
        <v>91</v>
      </c>
      <c r="F4" s="405">
        <v>28.571428571428573</v>
      </c>
      <c r="G4" s="414">
        <v>4</v>
      </c>
      <c r="H4" s="405">
        <v>4</v>
      </c>
      <c r="I4" s="405"/>
      <c r="J4" s="405">
        <v>1</v>
      </c>
      <c r="K4" s="422" t="s">
        <v>1246</v>
      </c>
      <c r="L4" s="405">
        <v>10</v>
      </c>
      <c r="M4" s="405">
        <v>35</v>
      </c>
      <c r="N4" s="405">
        <v>0</v>
      </c>
      <c r="O4" s="405">
        <v>5.5</v>
      </c>
      <c r="P4" s="405">
        <v>0.69000000000000006</v>
      </c>
    </row>
    <row r="5" spans="2:16">
      <c r="B5" s="412" t="s">
        <v>1995</v>
      </c>
      <c r="C5" s="412" t="s">
        <v>3345</v>
      </c>
      <c r="D5" s="412" t="s">
        <v>66</v>
      </c>
      <c r="E5" s="415">
        <v>91</v>
      </c>
      <c r="F5" s="418">
        <v>28.571428571428573</v>
      </c>
      <c r="G5" s="415">
        <v>4</v>
      </c>
      <c r="H5" s="418">
        <v>4</v>
      </c>
      <c r="I5" s="418"/>
      <c r="J5" s="418">
        <v>1</v>
      </c>
      <c r="K5" s="423" t="s">
        <v>1246</v>
      </c>
      <c r="L5" s="418">
        <v>10</v>
      </c>
      <c r="M5" s="418">
        <v>35</v>
      </c>
      <c r="N5" s="418">
        <v>0</v>
      </c>
      <c r="O5" s="418">
        <v>5.5</v>
      </c>
      <c r="P5" s="418">
        <v>0.69000000000000006</v>
      </c>
    </row>
    <row r="6" spans="2:16">
      <c r="B6" s="294"/>
      <c r="C6" s="294"/>
      <c r="D6" s="294"/>
      <c r="E6" s="416"/>
      <c r="F6" s="406"/>
      <c r="G6" s="416"/>
      <c r="H6" s="406"/>
      <c r="I6" s="406"/>
      <c r="J6" s="406"/>
      <c r="K6" s="660"/>
      <c r="L6" s="406"/>
      <c r="M6" s="406"/>
      <c r="N6" s="406"/>
      <c r="O6" s="406"/>
      <c r="P6" s="406"/>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3345</v>
      </c>
      <c r="D4" s="625" t="s">
        <v>66</v>
      </c>
      <c r="E4" s="626">
        <v>91</v>
      </c>
      <c r="F4" s="627">
        <v>398.58</v>
      </c>
      <c r="G4" s="627">
        <v>11388</v>
      </c>
    </row>
    <row r="5" spans="2:7">
      <c r="B5" s="412" t="s">
        <v>1995</v>
      </c>
      <c r="C5" s="412" t="s">
        <v>3345</v>
      </c>
      <c r="D5" s="412" t="s">
        <v>66</v>
      </c>
      <c r="E5" s="415">
        <v>91</v>
      </c>
      <c r="F5" s="418">
        <v>398.58</v>
      </c>
      <c r="G5" s="418">
        <v>11388</v>
      </c>
    </row>
    <row r="12" spans="2:7">
      <c r="B12" s="294"/>
      <c r="C12" s="294"/>
      <c r="D12" s="294"/>
      <c r="E12" s="416"/>
      <c r="F12" s="406"/>
      <c r="G12" s="406"/>
    </row>
  </sheetData>
  <sortState ref="B5:G6">
    <sortCondition ref="F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1322</v>
      </c>
      <c r="AC1" s="425" t="s">
        <v>1322</v>
      </c>
    </row>
    <row r="2" spans="2:30">
      <c r="B2" s="294"/>
      <c r="C2" s="294"/>
      <c r="D2" s="294"/>
      <c r="E2" s="416"/>
      <c r="F2" s="406"/>
      <c r="G2" s="406"/>
      <c r="H2" s="406"/>
      <c r="I2" s="406"/>
      <c r="J2" s="406"/>
      <c r="K2" s="406"/>
      <c r="L2" s="294"/>
      <c r="O2" s="450" t="s">
        <v>1340</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49</v>
      </c>
      <c r="P3" s="450"/>
      <c r="Q3" s="450" t="s">
        <v>39</v>
      </c>
      <c r="R3" s="450"/>
      <c r="S3" s="450" t="s">
        <v>21</v>
      </c>
      <c r="T3" s="441"/>
      <c r="U3" s="441"/>
      <c r="V3" s="441"/>
      <c r="W3" s="441"/>
      <c r="X3" s="441"/>
      <c r="Y3" s="441"/>
      <c r="Z3" s="441"/>
      <c r="AA3" s="441"/>
      <c r="AB3" s="441"/>
      <c r="AC3" s="441"/>
      <c r="AD3" s="441"/>
    </row>
    <row r="4" spans="2:30" ht="15.75">
      <c r="B4" s="625" t="s">
        <v>22</v>
      </c>
      <c r="C4" s="625" t="s">
        <v>3345</v>
      </c>
      <c r="D4" s="625" t="s">
        <v>66</v>
      </c>
      <c r="E4" s="626">
        <v>91</v>
      </c>
      <c r="F4" s="627">
        <v>14.031504644948239</v>
      </c>
      <c r="G4" s="627">
        <v>6.8053481894493517</v>
      </c>
      <c r="H4" s="627">
        <v>25.106824551421735</v>
      </c>
      <c r="I4" s="627">
        <v>2.0618349354559014</v>
      </c>
      <c r="J4" s="627">
        <v>6</v>
      </c>
      <c r="K4" s="627">
        <v>6</v>
      </c>
      <c r="L4" s="628">
        <v>1</v>
      </c>
      <c r="M4" s="450"/>
      <c r="N4" s="450"/>
      <c r="O4" s="450" t="s">
        <v>1316</v>
      </c>
      <c r="P4" s="450" t="s">
        <v>1317</v>
      </c>
      <c r="Q4" s="450" t="s">
        <v>1316</v>
      </c>
      <c r="R4" s="450" t="s">
        <v>1317</v>
      </c>
      <c r="S4" s="450">
        <v>398.58</v>
      </c>
      <c r="T4" s="425">
        <v>398.58</v>
      </c>
    </row>
    <row r="5" spans="2:30">
      <c r="B5" s="412" t="s">
        <v>1995</v>
      </c>
      <c r="C5" s="412" t="s">
        <v>3345</v>
      </c>
      <c r="D5" s="412" t="s">
        <v>66</v>
      </c>
      <c r="E5" s="415">
        <v>91</v>
      </c>
      <c r="F5" s="418">
        <v>14.031504644948239</v>
      </c>
      <c r="G5" s="418">
        <v>6.8053481894493517</v>
      </c>
      <c r="H5" s="418">
        <v>25.106824551421735</v>
      </c>
      <c r="I5" s="418">
        <v>2.0618349354559014</v>
      </c>
      <c r="J5" s="418">
        <v>6</v>
      </c>
      <c r="K5" s="418">
        <v>6</v>
      </c>
      <c r="L5" s="412">
        <v>1</v>
      </c>
      <c r="M5" s="450"/>
      <c r="N5" s="450"/>
      <c r="O5" s="450">
        <f t="shared" ref="O5:O14" si="0">IF($L5=1,$E5,NA())</f>
        <v>91</v>
      </c>
      <c r="P5" s="450" t="e">
        <f t="shared" ref="P5:P14" si="1">IF(AND($L5=0,$L5&lt;&gt;""),$E5,NA())</f>
        <v>#N/A</v>
      </c>
      <c r="Q5" s="450">
        <f t="shared" ref="Q5:Q40" si="2">IF(L5=1,F5,NA())</f>
        <v>14.031504644948239</v>
      </c>
      <c r="R5" s="450" t="e">
        <f t="shared" ref="R5:R14" si="3">IF(P5&lt;&gt;"",F5,NA())</f>
        <v>#N/A</v>
      </c>
      <c r="S5" s="450">
        <v>398.58</v>
      </c>
      <c r="T5" s="425">
        <v>148.92000000000002</v>
      </c>
    </row>
    <row r="6" spans="2:30">
      <c r="M6" s="450"/>
      <c r="N6" s="450"/>
      <c r="O6" s="450" t="e">
        <f t="shared" si="0"/>
        <v>#N/A</v>
      </c>
      <c r="P6" s="450" t="e">
        <f t="shared" si="1"/>
        <v>#N/A</v>
      </c>
      <c r="Q6" s="450" t="e">
        <f t="shared" ref="Q6:Q14" si="4">IF(L6=1,F6,NA())</f>
        <v>#N/A</v>
      </c>
      <c r="R6" s="450" t="e">
        <f t="shared" si="3"/>
        <v>#N/A</v>
      </c>
      <c r="T6" s="425">
        <v>586.92000000000007</v>
      </c>
    </row>
    <row r="7" spans="2:30">
      <c r="M7" s="450"/>
      <c r="N7" s="450"/>
      <c r="O7" s="450" t="e">
        <f t="shared" si="0"/>
        <v>#N/A</v>
      </c>
      <c r="P7" s="450" t="e">
        <f t="shared" si="1"/>
        <v>#N/A</v>
      </c>
      <c r="Q7" s="450" t="e">
        <f t="shared" si="4"/>
        <v>#N/A</v>
      </c>
      <c r="R7" s="450" t="e">
        <f t="shared" si="3"/>
        <v>#N/A</v>
      </c>
    </row>
    <row r="8" spans="2:30">
      <c r="M8" s="450"/>
      <c r="N8" s="450"/>
      <c r="O8" s="450" t="e">
        <f t="shared" si="0"/>
        <v>#N/A</v>
      </c>
      <c r="P8" s="450" t="e">
        <f t="shared" si="1"/>
        <v>#N/A</v>
      </c>
      <c r="Q8" s="450" t="e">
        <f t="shared" si="4"/>
        <v>#N/A</v>
      </c>
      <c r="R8" s="450" t="e">
        <f t="shared" si="3"/>
        <v>#N/A</v>
      </c>
    </row>
    <row r="9" spans="2:30">
      <c r="M9" s="450"/>
      <c r="N9" s="450"/>
      <c r="O9" s="450" t="e">
        <f t="shared" si="0"/>
        <v>#N/A</v>
      </c>
      <c r="P9" s="450" t="e">
        <f t="shared" si="1"/>
        <v>#N/A</v>
      </c>
      <c r="Q9" s="450" t="e">
        <f t="shared" si="4"/>
        <v>#N/A</v>
      </c>
      <c r="R9" s="450" t="e">
        <f t="shared" si="3"/>
        <v>#N/A</v>
      </c>
    </row>
    <row r="10" spans="2:30">
      <c r="M10" s="450"/>
      <c r="N10" s="450"/>
      <c r="O10" s="450" t="e">
        <f t="shared" si="0"/>
        <v>#N/A</v>
      </c>
      <c r="P10" s="450" t="e">
        <f t="shared" si="1"/>
        <v>#N/A</v>
      </c>
      <c r="Q10" s="450" t="e">
        <f t="shared" si="4"/>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5:S6">
    <sortCondition descending="1" ref="N5"/>
    <sortCondition ref="S5"/>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1278</v>
      </c>
      <c r="J3" s="439" t="s">
        <v>1279</v>
      </c>
      <c r="K3" s="439" t="str">
        <f>Translation!B448</f>
        <v>Target Average</v>
      </c>
      <c r="L3" s="439" t="s">
        <v>1280</v>
      </c>
      <c r="M3" s="439" t="s">
        <v>1281</v>
      </c>
      <c r="N3" s="438" t="str">
        <f>Translation!B458</f>
        <v>Meets Luminance?</v>
      </c>
      <c r="O3" s="441"/>
      <c r="P3" s="441"/>
      <c r="Q3" s="441"/>
      <c r="R3" s="451" t="s">
        <v>1341</v>
      </c>
      <c r="S3" s="441"/>
      <c r="T3" s="441"/>
      <c r="U3" s="441"/>
      <c r="V3" s="441"/>
      <c r="W3" s="441"/>
      <c r="X3" s="449"/>
      <c r="Y3" s="449"/>
      <c r="Z3" s="449"/>
    </row>
    <row r="4" spans="2:26" ht="15.75">
      <c r="B4" s="625" t="s">
        <v>22</v>
      </c>
      <c r="C4" s="625" t="s">
        <v>3345</v>
      </c>
      <c r="D4" s="625" t="s">
        <v>66</v>
      </c>
      <c r="E4" s="626">
        <v>91</v>
      </c>
      <c r="F4" s="627">
        <v>1.1424180073258474</v>
      </c>
      <c r="G4" s="627">
        <v>0.46857753254908935</v>
      </c>
      <c r="H4" s="627">
        <v>1.7662242648823605</v>
      </c>
      <c r="I4" s="627">
        <v>2.4380554507405128</v>
      </c>
      <c r="J4" s="627">
        <v>3.7693319508385232</v>
      </c>
      <c r="K4" s="627">
        <v>0.6</v>
      </c>
      <c r="L4" s="627">
        <v>3</v>
      </c>
      <c r="M4" s="627">
        <v>6</v>
      </c>
      <c r="N4" s="628">
        <v>1</v>
      </c>
      <c r="R4" s="450">
        <v>398.58</v>
      </c>
    </row>
    <row r="5" spans="2:26">
      <c r="B5" s="412" t="s">
        <v>1995</v>
      </c>
      <c r="C5" s="412" t="s">
        <v>3345</v>
      </c>
      <c r="D5" s="412" t="s">
        <v>66</v>
      </c>
      <c r="E5" s="415">
        <v>91</v>
      </c>
      <c r="F5" s="418">
        <v>1.1423931386714454</v>
      </c>
      <c r="G5" s="418">
        <v>0.46857753254908935</v>
      </c>
      <c r="H5" s="418">
        <v>1.7662242648823605</v>
      </c>
      <c r="I5" s="418">
        <v>2.4380023780840698</v>
      </c>
      <c r="J5" s="418">
        <v>3.7693319508385232</v>
      </c>
      <c r="K5" s="418">
        <v>0.6</v>
      </c>
      <c r="L5" s="418">
        <v>3</v>
      </c>
      <c r="M5" s="418">
        <v>6</v>
      </c>
      <c r="N5" s="415">
        <v>1</v>
      </c>
      <c r="R5" s="450">
        <v>398.58</v>
      </c>
      <c r="S5" s="450">
        <f>IF($N5=1,$E5,NA())</f>
        <v>91</v>
      </c>
      <c r="T5" s="450" t="e">
        <f>IF(AND($N5=0,$N5&lt;&gt;""),$E5,NA())</f>
        <v>#N/A</v>
      </c>
      <c r="U5" s="450">
        <f>IF($N5=1,$F5,NA())</f>
        <v>1.1423931386714454</v>
      </c>
      <c r="V5" s="450" t="e">
        <f>IF(AND($N5=0,$N5&lt;&gt;""),$F5,NA())</f>
        <v>#N/A</v>
      </c>
    </row>
    <row r="6" spans="2:26">
      <c r="S6" s="450" t="e">
        <f t="shared" ref="S6:S69" si="0">IF($N6=1,$E6,NA())</f>
        <v>#N/A</v>
      </c>
      <c r="T6" s="450" t="e">
        <f t="shared" ref="T6:T69" si="1">IF(AND($N6=0,$N6&lt;&gt;""),$E6,NA())</f>
        <v>#N/A</v>
      </c>
      <c r="U6" s="450" t="e">
        <f t="shared" ref="U6:U69" si="2">IF($N6=1,$F6,NA())</f>
        <v>#N/A</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5:R6">
    <sortCondition descending="1" ref="N5"/>
    <sortCondition ref="R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3345</v>
      </c>
      <c r="D4" s="625" t="s">
        <v>66</v>
      </c>
      <c r="E4" s="626">
        <v>91</v>
      </c>
      <c r="F4" s="677">
        <v>0</v>
      </c>
      <c r="G4" s="677">
        <v>64.86</v>
      </c>
      <c r="H4" s="677"/>
      <c r="I4" s="677"/>
      <c r="J4" s="627"/>
    </row>
    <row r="5" spans="2:10">
      <c r="B5" s="412" t="s">
        <v>1995</v>
      </c>
      <c r="C5" s="412" t="s">
        <v>3345</v>
      </c>
      <c r="D5" s="412" t="s">
        <v>66</v>
      </c>
      <c r="E5" s="415">
        <v>91</v>
      </c>
      <c r="F5" s="678">
        <v>600</v>
      </c>
      <c r="G5" s="678">
        <v>64.86</v>
      </c>
      <c r="H5" s="678">
        <v>600</v>
      </c>
      <c r="I5" s="678">
        <v>0.14000000000000001</v>
      </c>
      <c r="J5" s="418">
        <v>4225.352112676057</v>
      </c>
    </row>
    <row r="6" spans="2:10">
      <c r="B6" s="294"/>
      <c r="C6" s="294"/>
      <c r="D6" s="294"/>
      <c r="E6" s="416"/>
      <c r="F6" s="411"/>
      <c r="G6" s="411"/>
      <c r="H6" s="411"/>
      <c r="I6" s="411"/>
      <c r="J6" s="406"/>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3345</v>
      </c>
      <c r="D4" s="625" t="s">
        <v>66</v>
      </c>
      <c r="E4" s="626">
        <v>91</v>
      </c>
      <c r="F4" s="679">
        <v>0</v>
      </c>
      <c r="G4" s="679">
        <v>64.23</v>
      </c>
      <c r="H4" s="679">
        <v>127.83</v>
      </c>
      <c r="I4" s="679">
        <v>190.82</v>
      </c>
      <c r="J4" s="679">
        <v>253.2</v>
      </c>
      <c r="K4" s="679">
        <v>314.97000000000003</v>
      </c>
      <c r="L4" s="679">
        <v>376.14</v>
      </c>
      <c r="M4" s="679">
        <v>436.71</v>
      </c>
      <c r="N4" s="679">
        <v>496.7</v>
      </c>
      <c r="O4" s="679">
        <v>556.11</v>
      </c>
      <c r="P4" s="679">
        <v>614.94000000000005</v>
      </c>
      <c r="Q4" s="679">
        <v>673.19</v>
      </c>
      <c r="R4" s="679">
        <v>730.89</v>
      </c>
      <c r="S4" s="679">
        <v>788.02</v>
      </c>
      <c r="T4" s="679">
        <v>844.6</v>
      </c>
      <c r="U4" s="679">
        <v>900.63</v>
      </c>
      <c r="V4" s="679">
        <v>956.11</v>
      </c>
      <c r="W4" s="679">
        <v>1011.06</v>
      </c>
      <c r="X4" s="679">
        <v>1065.47</v>
      </c>
      <c r="Y4" s="679">
        <v>1119.3499999999999</v>
      </c>
      <c r="Z4" s="679">
        <v>1172.71</v>
      </c>
      <c r="AB4" s="503">
        <v>398.58</v>
      </c>
      <c r="AC4" s="425"/>
    </row>
    <row r="5" spans="2:29">
      <c r="B5" s="412" t="s">
        <v>1995</v>
      </c>
      <c r="C5" s="412" t="s">
        <v>3345</v>
      </c>
      <c r="D5" s="412" t="s">
        <v>66</v>
      </c>
      <c r="E5" s="415">
        <v>91</v>
      </c>
      <c r="F5" s="678">
        <v>600</v>
      </c>
      <c r="G5" s="678">
        <v>664.23</v>
      </c>
      <c r="H5" s="678">
        <v>727.83</v>
      </c>
      <c r="I5" s="678">
        <v>790.82</v>
      </c>
      <c r="J5" s="678">
        <v>853.2</v>
      </c>
      <c r="K5" s="678">
        <v>914.97</v>
      </c>
      <c r="L5" s="678">
        <v>976.14</v>
      </c>
      <c r="M5" s="678">
        <v>1036.71</v>
      </c>
      <c r="N5" s="678">
        <v>1096.7</v>
      </c>
      <c r="O5" s="678">
        <v>1156.1099999999999</v>
      </c>
      <c r="P5" s="678">
        <v>1214.94</v>
      </c>
      <c r="Q5" s="678">
        <v>1273.19</v>
      </c>
      <c r="R5" s="678">
        <v>1330.89</v>
      </c>
      <c r="S5" s="678">
        <v>1388.02</v>
      </c>
      <c r="T5" s="678">
        <v>1444.6</v>
      </c>
      <c r="U5" s="678">
        <v>1500.63</v>
      </c>
      <c r="V5" s="678">
        <v>1556.11</v>
      </c>
      <c r="W5" s="678">
        <v>1611.06</v>
      </c>
      <c r="X5" s="678">
        <v>1665.47</v>
      </c>
      <c r="Y5" s="678">
        <v>1719.35</v>
      </c>
      <c r="Z5" s="678">
        <v>1772.71</v>
      </c>
      <c r="AB5" s="503">
        <v>398.58</v>
      </c>
    </row>
    <row r="6" spans="2:29">
      <c r="B6" s="294"/>
      <c r="C6" s="294"/>
      <c r="D6" s="294"/>
      <c r="E6" s="416"/>
      <c r="F6" s="680"/>
      <c r="G6" s="680"/>
      <c r="H6" s="680"/>
      <c r="I6" s="680"/>
      <c r="J6" s="680"/>
      <c r="K6" s="680"/>
      <c r="L6" s="680"/>
      <c r="M6" s="680"/>
      <c r="N6" s="680"/>
      <c r="O6" s="680"/>
      <c r="P6" s="680"/>
      <c r="Q6" s="680"/>
      <c r="R6" s="680"/>
      <c r="S6" s="680"/>
      <c r="T6" s="680"/>
      <c r="U6" s="680"/>
      <c r="V6" s="680"/>
      <c r="W6" s="680"/>
      <c r="X6" s="680"/>
      <c r="Y6" s="680"/>
      <c r="Z6" s="680"/>
      <c r="AB6" s="503"/>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5:AB6">
    <sortCondition ref="AB5"/>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3345</v>
      </c>
      <c r="D4" s="625" t="s">
        <v>66</v>
      </c>
      <c r="E4" s="626">
        <v>91</v>
      </c>
      <c r="F4" s="629"/>
      <c r="G4" s="629"/>
      <c r="H4" s="629"/>
      <c r="I4" s="629"/>
      <c r="J4" s="629"/>
      <c r="K4" s="629"/>
      <c r="L4" s="629"/>
      <c r="M4" s="629"/>
      <c r="N4" s="629"/>
      <c r="O4" s="629"/>
      <c r="P4" s="629"/>
      <c r="Q4" s="629"/>
      <c r="R4" s="629"/>
      <c r="S4" s="629"/>
      <c r="T4" s="629"/>
      <c r="U4" s="629"/>
      <c r="V4" s="629"/>
      <c r="W4" s="629"/>
      <c r="X4" s="629"/>
      <c r="Y4" s="629"/>
      <c r="AA4" s="450">
        <v>398.58</v>
      </c>
      <c r="AB4" s="425"/>
    </row>
    <row r="5" spans="1:28" s="450" customFormat="1">
      <c r="A5" s="387"/>
      <c r="B5" s="412" t="s">
        <v>1995</v>
      </c>
      <c r="C5" s="412" t="s">
        <v>3345</v>
      </c>
      <c r="D5" s="412" t="s">
        <v>66</v>
      </c>
      <c r="E5" s="415">
        <v>91</v>
      </c>
      <c r="F5" s="630" t="e">
        <v>#NUM!</v>
      </c>
      <c r="G5" s="630" t="e">
        <v>#NUM!</v>
      </c>
      <c r="H5" s="630" t="e">
        <v>#NUM!</v>
      </c>
      <c r="I5" s="630" t="e">
        <v>#NUM!</v>
      </c>
      <c r="J5" s="630" t="e">
        <v>#NUM!</v>
      </c>
      <c r="K5" s="630" t="e">
        <v>#NUM!</v>
      </c>
      <c r="L5" s="630" t="e">
        <v>#NUM!</v>
      </c>
      <c r="M5" s="630" t="e">
        <v>#NUM!</v>
      </c>
      <c r="N5" s="630" t="e">
        <v>#NUM!</v>
      </c>
      <c r="O5" s="630" t="e">
        <v>#NUM!</v>
      </c>
      <c r="P5" s="630" t="e">
        <v>#NUM!</v>
      </c>
      <c r="Q5" s="630" t="e">
        <v>#NUM!</v>
      </c>
      <c r="R5" s="630" t="e">
        <v>#NUM!</v>
      </c>
      <c r="S5" s="630" t="e">
        <v>#NUM!</v>
      </c>
      <c r="T5" s="630" t="e">
        <v>#NUM!</v>
      </c>
      <c r="U5" s="630" t="e">
        <v>#NUM!</v>
      </c>
      <c r="V5" s="630" t="e">
        <v>#NUM!</v>
      </c>
      <c r="W5" s="630" t="e">
        <v>#NUM!</v>
      </c>
      <c r="X5" s="630" t="e">
        <v>#NUM!</v>
      </c>
      <c r="Y5" s="630" t="e">
        <v>#NUM!</v>
      </c>
      <c r="Z5" s="387"/>
      <c r="AA5" s="450">
        <v>398.58</v>
      </c>
    </row>
    <row r="6" spans="1:28" s="450" customFormat="1">
      <c r="A6" s="387"/>
      <c r="B6" s="294"/>
      <c r="C6" s="294"/>
      <c r="D6" s="294"/>
      <c r="E6" s="416"/>
      <c r="F6" s="516"/>
      <c r="G6" s="516"/>
      <c r="H6" s="516"/>
      <c r="I6" s="516"/>
      <c r="J6" s="516"/>
      <c r="K6" s="516"/>
      <c r="L6" s="516"/>
      <c r="M6" s="516"/>
      <c r="N6" s="516"/>
      <c r="O6" s="516"/>
      <c r="P6" s="516"/>
      <c r="Q6" s="516"/>
      <c r="R6" s="516"/>
      <c r="S6" s="516"/>
      <c r="T6" s="516"/>
      <c r="U6" s="516"/>
      <c r="V6" s="516"/>
      <c r="W6" s="516"/>
      <c r="X6" s="516"/>
      <c r="Y6" s="516"/>
      <c r="Z6" s="387"/>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5:AA6">
    <sortCondition ref="AA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200</vt:i4>
      </vt:variant>
    </vt:vector>
  </HeadingPairs>
  <TitlesOfParts>
    <vt:vector size="233" baseType="lpstr">
      <vt:lpstr>Start</vt:lpstr>
      <vt:lpstr>Introduction</vt:lpstr>
      <vt:lpstr>Examples</vt:lpstr>
      <vt:lpstr>Road Geometry</vt:lpstr>
      <vt:lpstr>Lighting Standards</vt:lpstr>
      <vt:lpstr>Fixtures</vt:lpstr>
      <vt:lpstr>Costs</vt:lpstr>
      <vt:lpstr>Confirmation</vt:lpstr>
      <vt:lpstr>Scratch</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2015-01-07T02:11:19Z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